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Estimativa LABMETRO e USIMEC" sheetId="1" r:id="rId1"/>
    <sheet name="COMPOSIÇÕES" sheetId="6" r:id="rId2"/>
    <sheet name="CRONOGRAMA" sheetId="2" r:id="rId3"/>
    <sheet name="BDI OBRAS" sheetId="3" r:id="rId4"/>
    <sheet name="ENCARGOS SOCIAIS" sheetId="4" r:id="rId5"/>
    <sheet name="Apoio Cronograma" sheetId="7" r:id="rId6"/>
  </sheets>
  <externalReferences>
    <externalReference r:id="rId7"/>
    <externalReference r:id="rId8"/>
    <externalReference r:id="rId9"/>
    <externalReference r:id="rId10"/>
  </externalReferences>
  <definedNames>
    <definedName name="\A" localSheetId="2">[1]SERVIÇO!#REF!</definedName>
    <definedName name="\A">[1]SERVIÇO!#REF!</definedName>
    <definedName name="\B" localSheetId="2">[1]SERVIÇO!#REF!</definedName>
    <definedName name="\B">[1]SERVIÇO!#REF!</definedName>
    <definedName name="\C" localSheetId="2">[1]SERVIÇO!#REF!</definedName>
    <definedName name="\C">[1]SERVIÇO!#REF!</definedName>
    <definedName name="\I" localSheetId="2">[1]SERVIÇO!#REF!</definedName>
    <definedName name="\I">[1]SERVIÇO!#REF!</definedName>
    <definedName name="\J" localSheetId="2">[1]SERVIÇO!#REF!</definedName>
    <definedName name="\J">[1]SERVIÇO!#REF!</definedName>
    <definedName name="\O" localSheetId="2">[1]SERVIÇO!#REF!</definedName>
    <definedName name="\O">[1]SERVIÇO!#REF!</definedName>
    <definedName name="\P" localSheetId="2">[1]SERVIÇO!#REF!</definedName>
    <definedName name="\P">[1]SERVIÇO!#REF!</definedName>
    <definedName name="_____ACR10">[1]SERVIÇO!#REF!</definedName>
    <definedName name="_____ACR15">[1]SERVIÇO!#REF!</definedName>
    <definedName name="_____acr20">[1]SERVIÇO!#REF!</definedName>
    <definedName name="_____acr5">[1]SERVIÇO!#REF!</definedName>
    <definedName name="_____ARQ1">[1]SERVIÇO!#REF!</definedName>
    <definedName name="_____QT100">[1]SERVIÇO!#REF!</definedName>
    <definedName name="_____QT2">[1]SERVIÇO!#REF!</definedName>
    <definedName name="_____QT3">[1]SERVIÇO!#REF!</definedName>
    <definedName name="_____QT4">[1]SERVIÇO!#REF!</definedName>
    <definedName name="_____QT50">[1]SERVIÇO!#REF!</definedName>
    <definedName name="_____QT75">[1]SERVIÇO!#REF!</definedName>
    <definedName name="____ACR10">[1]SERVIÇO!#REF!</definedName>
    <definedName name="____ACR15">[1]SERVIÇO!#REF!</definedName>
    <definedName name="____acr20">[1]SERVIÇO!#REF!</definedName>
    <definedName name="____acr5">[1]SERVIÇO!#REF!</definedName>
    <definedName name="____ARQ1">[1]SERVIÇO!#REF!</definedName>
    <definedName name="____QT100">[1]SERVIÇO!#REF!</definedName>
    <definedName name="____QT2">[1]SERVIÇO!#REF!</definedName>
    <definedName name="____QT3">[1]SERVIÇO!#REF!</definedName>
    <definedName name="____QT4">[1]SERVIÇO!#REF!</definedName>
    <definedName name="____QT50">[1]SERVIÇO!#REF!</definedName>
    <definedName name="____QT75">[1]SERVIÇO!#REF!</definedName>
    <definedName name="___ACR10">[1]SERVIÇO!#REF!</definedName>
    <definedName name="___ACR15">[1]SERVIÇO!#REF!</definedName>
    <definedName name="___acr20">[1]SERVIÇO!#REF!</definedName>
    <definedName name="___acr5">[1]SERVIÇO!#REF!</definedName>
    <definedName name="___ARQ1">[1]SERVIÇO!#REF!</definedName>
    <definedName name="___QT100">[1]SERVIÇO!#REF!</definedName>
    <definedName name="___QT2">[1]SERVIÇO!#REF!</definedName>
    <definedName name="___QT3">[1]SERVIÇO!#REF!</definedName>
    <definedName name="___QT4">[1]SERVIÇO!#REF!</definedName>
    <definedName name="___QT50">[1]SERVIÇO!#REF!</definedName>
    <definedName name="___QT75">[1]SERVIÇO!#REF!</definedName>
    <definedName name="__ACR10" localSheetId="2">[1]SERVIÇO!#REF!</definedName>
    <definedName name="__ACR15" localSheetId="2">[1]SERVIÇO!#REF!</definedName>
    <definedName name="__acr20" localSheetId="2">[1]SERVIÇO!#REF!</definedName>
    <definedName name="__acr5" localSheetId="2">[1]SERVIÇO!#REF!</definedName>
    <definedName name="__ARQ1" localSheetId="2">[1]SERVIÇO!#REF!</definedName>
    <definedName name="__QT100" localSheetId="2">[1]SERVIÇO!#REF!</definedName>
    <definedName name="__QT2" localSheetId="2">[1]SERVIÇO!#REF!</definedName>
    <definedName name="__QT3" localSheetId="2">[1]SERVIÇO!#REF!</definedName>
    <definedName name="__QT4" localSheetId="2">[1]SERVIÇO!#REF!</definedName>
    <definedName name="__QT50" localSheetId="2">[1]SERVIÇO!#REF!</definedName>
    <definedName name="__QT75" localSheetId="2">[1]SERVIÇO!#REF!</definedName>
    <definedName name="_ACR10" localSheetId="2">[1]SERVIÇO!#REF!</definedName>
    <definedName name="_ACR10">[1]SERVIÇO!#REF!</definedName>
    <definedName name="_ACR15" localSheetId="2">[1]SERVIÇO!#REF!</definedName>
    <definedName name="_ACR15">[1]SERVIÇO!#REF!</definedName>
    <definedName name="_acr20" localSheetId="2">[1]SERVIÇO!#REF!</definedName>
    <definedName name="_acr20">[1]SERVIÇO!#REF!</definedName>
    <definedName name="_acr5" localSheetId="2">[1]SERVIÇO!#REF!</definedName>
    <definedName name="_acr5">[1]SERVIÇO!#REF!</definedName>
    <definedName name="_ARQ1" localSheetId="2">[1]SERVIÇO!#REF!</definedName>
    <definedName name="_ARQ1">[1]SERVIÇO!#REF!</definedName>
    <definedName name="_xlnm._FilterDatabase" localSheetId="2" hidden="1">CRONOGRAMA!$C$111:$C$125</definedName>
    <definedName name="_QT100" localSheetId="2">[1]SERVIÇO!#REF!</definedName>
    <definedName name="_QT100">[1]SERVIÇO!#REF!</definedName>
    <definedName name="_QT2" localSheetId="2">[1]SERVIÇO!#REF!</definedName>
    <definedName name="_QT2">[1]SERVIÇO!#REF!</definedName>
    <definedName name="_QT3" localSheetId="2">[1]SERVIÇO!#REF!</definedName>
    <definedName name="_QT3">[1]SERVIÇO!#REF!</definedName>
    <definedName name="_QT4" localSheetId="2">[1]SERVIÇO!#REF!</definedName>
    <definedName name="_QT4">[1]SERVIÇO!#REF!</definedName>
    <definedName name="_QT50" localSheetId="2">[1]SERVIÇO!#REF!</definedName>
    <definedName name="_QT50">[1]SERVIÇO!#REF!</definedName>
    <definedName name="_QT75" localSheetId="2">[1]SERVIÇO!#REF!</definedName>
    <definedName name="_QT75">[1]SERVIÇO!#REF!</definedName>
    <definedName name="_T" localSheetId="2">[1]SERVIÇO!#REF!</definedName>
    <definedName name="_T">[1]SERVIÇO!#REF!</definedName>
    <definedName name="AAAAA" localSheetId="2">#REF!</definedName>
    <definedName name="AAAAA">#REF!</definedName>
    <definedName name="abebqt" localSheetId="2">[1]SERVIÇO!#REF!</definedName>
    <definedName name="abebqt">[1]SERVIÇO!#REF!</definedName>
    <definedName name="ACADUC" localSheetId="2">[1]SERVIÇO!#REF!</definedName>
    <definedName name="ACADUC">[1]SERVIÇO!#REF!</definedName>
    <definedName name="ACBEB" localSheetId="2">[1]SERVIÇO!#REF!</definedName>
    <definedName name="ACBEB">[1]SERVIÇO!#REF!</definedName>
    <definedName name="ACBOMB" localSheetId="2">[1]SERVIÇO!#REF!</definedName>
    <definedName name="ACBOMB">[1]SERVIÇO!#REF!</definedName>
    <definedName name="ACCHAF" localSheetId="2">[1]SERVIÇO!#REF!</definedName>
    <definedName name="ACCHAF">[1]SERVIÇO!#REF!</definedName>
    <definedName name="ACDER" localSheetId="2">[1]SERVIÇO!#REF!</definedName>
    <definedName name="ACDER">[1]SERVIÇO!#REF!</definedName>
    <definedName name="ACDIV" localSheetId="2">[1]SERVIÇO!#REF!</definedName>
    <definedName name="ACDIV">[1]SERVIÇO!#REF!</definedName>
    <definedName name="ACEQP" localSheetId="2">[1]SERVIÇO!#REF!</definedName>
    <definedName name="ACEQP">[1]SERVIÇO!#REF!</definedName>
    <definedName name="ACHAFQT" localSheetId="2">[1]SERVIÇO!#REF!</definedName>
    <definedName name="ACHAFQT">[1]SERVIÇO!#REF!</definedName>
    <definedName name="ACMUR" localSheetId="2">[1]SERVIÇO!#REF!</definedName>
    <definedName name="ACMUR">[1]SERVIÇO!#REF!</definedName>
    <definedName name="ACONT2" localSheetId="2">[1]SERVIÇO!#REF!</definedName>
    <definedName name="ACONT2">[1]SERVIÇO!#REF!</definedName>
    <definedName name="ACPIPA" localSheetId="2">[1]SERVIÇO!#REF!</definedName>
    <definedName name="ACPIPA">[1]SERVIÇO!#REF!</definedName>
    <definedName name="ACTRANSP" localSheetId="2">[1]SERVIÇO!#REF!</definedName>
    <definedName name="ACTRANSP">[1]SERVIÇO!#REF!</definedName>
    <definedName name="ADUCQT" localSheetId="2">[1]SERVIÇO!#REF!</definedName>
    <definedName name="ADUCQT">[1]SERVIÇO!#REF!</definedName>
    <definedName name="AITEM" localSheetId="2">[1]SERVIÇO!#REF!</definedName>
    <definedName name="AITEM">[1]SERVIÇO!#REF!</definedName>
    <definedName name="ALTADUC" localSheetId="2">[1]SERVIÇO!#REF!</definedName>
    <definedName name="ALTADUC">[1]SERVIÇO!#REF!</definedName>
    <definedName name="ALTBOMB" localSheetId="2">[1]SERVIÇO!#REF!</definedName>
    <definedName name="ALTBOMB">[1]SERVIÇO!#REF!</definedName>
    <definedName name="ALTCAP" localSheetId="2">[1]SERVIÇO!#REF!</definedName>
    <definedName name="ALTCAP">[1]SERVIÇO!#REF!</definedName>
    <definedName name="ALTDER" localSheetId="2">[1]SERVIÇO!#REF!</definedName>
    <definedName name="ALTDER">[1]SERVIÇO!#REF!</definedName>
    <definedName name="ALTEQUIP" localSheetId="2">[1]SERVIÇO!#REF!</definedName>
    <definedName name="ALTEQUIP">[1]SERVIÇO!#REF!</definedName>
    <definedName name="ALTIEQP" localSheetId="2">[1]SERVIÇO!#REF!</definedName>
    <definedName name="ALTIEQP">[1]SERVIÇO!#REF!</definedName>
    <definedName name="ALTMUR" localSheetId="2">[1]SERVIÇO!#REF!</definedName>
    <definedName name="ALTMUR">[1]SERVIÇO!#REF!</definedName>
    <definedName name="ALTRES10" localSheetId="2">[1]SERVIÇO!#REF!</definedName>
    <definedName name="ALTRES10">[1]SERVIÇO!#REF!</definedName>
    <definedName name="ALTRES15" localSheetId="2">[1]SERVIÇO!#REF!</definedName>
    <definedName name="ALTRES15">[1]SERVIÇO!#REF!</definedName>
    <definedName name="ALTRES20" localSheetId="2">[1]SERVIÇO!#REF!</definedName>
    <definedName name="ALTRES20">[1]SERVIÇO!#REF!</definedName>
    <definedName name="ALTTRANS" localSheetId="2">[1]SERVIÇO!#REF!</definedName>
    <definedName name="ALTTRANS">[1]SERVIÇO!#REF!</definedName>
    <definedName name="AQTEMP1" localSheetId="2">[1]SERVIÇO!#REF!</definedName>
    <definedName name="AQTEMP1">[1]SERVIÇO!#REF!</definedName>
    <definedName name="AQTEMP2" localSheetId="2">[1]SERVIÇO!#REF!</definedName>
    <definedName name="AQTEMP2">[1]SERVIÇO!#REF!</definedName>
    <definedName name="_xlnm.Print_Area" localSheetId="3">'BDI OBRAS'!$A$9:$H$47</definedName>
    <definedName name="_xlnm.Print_Area" localSheetId="2">CRONOGRAMA!$A$1:$N$149</definedName>
    <definedName name="_xlnm.Print_Area" localSheetId="4">'ENCARGOS SOCIAIS'!$A$1:$J$49</definedName>
    <definedName name="ARQ" localSheetId="2">[1]SERVIÇO!#REF!</definedName>
    <definedName name="ARQ">[1]SERVIÇO!#REF!</definedName>
    <definedName name="ARQERR" localSheetId="2">[1]SERVIÇO!#REF!</definedName>
    <definedName name="ARQERR">[1]SERVIÇO!#REF!</definedName>
    <definedName name="ARQMARC" localSheetId="2">[1]SERVIÇO!#REF!</definedName>
    <definedName name="ARQMARC">[1]SERVIÇO!#REF!</definedName>
    <definedName name="ARQPLAN" localSheetId="2">[1]SERVIÇO!#REF!</definedName>
    <definedName name="ARQPLAN">[1]SERVIÇO!#REF!</definedName>
    <definedName name="ARQT" localSheetId="2">[1]SERVIÇO!#REF!</definedName>
    <definedName name="ARQT">[1]SERVIÇO!#REF!</definedName>
    <definedName name="ARQTEMP" localSheetId="2">[1]SERVIÇO!#REF!</definedName>
    <definedName name="ARQTEMP">[1]SERVIÇO!#REF!</definedName>
    <definedName name="ARQTXT" localSheetId="2">[1]SERVIÇO!#REF!</definedName>
    <definedName name="ARQTXT">[1]SERVIÇO!#REF!</definedName>
    <definedName name="ARTEMP" localSheetId="2">[1]SERVIÇO!#REF!</definedName>
    <definedName name="ARTEMP">[1]SERVIÇO!#REF!</definedName>
    <definedName name="ass" localSheetId="2">[1]SERVIÇO!#REF!</definedName>
    <definedName name="ass">[1]SERVIÇO!#REF!</definedName>
    <definedName name="bebqt" localSheetId="2">[1]SERVIÇO!#REF!</definedName>
    <definedName name="bebqt">[1]SERVIÇO!#REF!</definedName>
    <definedName name="CAMP" localSheetId="2">[1]SERVIÇO!#REF!</definedName>
    <definedName name="CAMP">[1]SERVIÇO!#REF!</definedName>
    <definedName name="CHAFQT" localSheetId="2">[1]SERVIÇO!#REF!</definedName>
    <definedName name="CHAFQT">[1]SERVIÇO!#REF!</definedName>
    <definedName name="COLSUB" localSheetId="2">[1]SERVIÇO!#REF!</definedName>
    <definedName name="COLSUB">[1]SERVIÇO!#REF!</definedName>
    <definedName name="CONT1" localSheetId="2">[1]SERVIÇO!#REF!</definedName>
    <definedName name="CONT1">[1]SERVIÇO!#REF!</definedName>
    <definedName name="CONT2" localSheetId="2">[1]SERVIÇO!#REF!</definedName>
    <definedName name="CONT2">[1]SERVIÇO!#REF!</definedName>
    <definedName name="CONT3" localSheetId="2">[1]SERVIÇO!#REF!</definedName>
    <definedName name="CONT3">[1]SERVIÇO!#REF!</definedName>
    <definedName name="CONTAIT" localSheetId="2">[1]SERVIÇO!#REF!</definedName>
    <definedName name="CONTAIT">[1]SERVIÇO!#REF!</definedName>
    <definedName name="CONTREC" localSheetId="2">[1]SERVIÇO!#REF!</definedName>
    <definedName name="CONTREC">[1]SERVIÇO!#REF!</definedName>
    <definedName name="CONTRES" localSheetId="2">[1]SERVIÇO!#REF!</definedName>
    <definedName name="CONTRES">[1]SERVIÇO!#REF!</definedName>
    <definedName name="CRITERX" localSheetId="2">[1]SERVIÇO!#REF!</definedName>
    <definedName name="CRITERX">[1]SERVIÇO!#REF!</definedName>
    <definedName name="DERIVQT" localSheetId="2">[1]SERVIÇO!#REF!</definedName>
    <definedName name="DERIVQT">[1]SERVIÇO!#REF!</definedName>
    <definedName name="descnt" localSheetId="2">#REF!</definedName>
    <definedName name="descnt">#REF!</definedName>
    <definedName name="descont" localSheetId="2">#REF!</definedName>
    <definedName name="descont">#REF!</definedName>
    <definedName name="DIFQT" localSheetId="2">[1]SERVIÇO!#REF!</definedName>
    <definedName name="DIFQT">[1]SERVIÇO!#REF!</definedName>
    <definedName name="EQPOTENC" localSheetId="2">[1]SERVIÇO!#REF!</definedName>
    <definedName name="EQPOTENC">[1]SERVIÇO!#REF!</definedName>
    <definedName name="FCRITER" localSheetId="2">[1]SERVIÇO!#REF!</definedName>
    <definedName name="FCRITER">[1]SERVIÇO!#REF!</definedName>
    <definedName name="HOJE" localSheetId="2">[1]SERVIÇO!#REF!</definedName>
    <definedName name="HOJE">[1]SERVIÇO!#REF!</definedName>
    <definedName name="IMPF" localSheetId="2">[1]SERVIÇO!#REF!</definedName>
    <definedName name="IMPF">[1]SERVIÇO!#REF!</definedName>
    <definedName name="IMPI" localSheetId="2">[1]SERVIÇO!#REF!</definedName>
    <definedName name="IMPI">[1]SERVIÇO!#REF!</definedName>
    <definedName name="Insumos">'[2]RELAÇÃO - COMPOSIÇÕES E INSUMOS'!$A$7:$D$337</definedName>
    <definedName name="ITEMCONT" localSheetId="2">[1]SERVIÇO!#REF!</definedName>
    <definedName name="ITEMCONT">[1]SERVIÇO!#REF!</definedName>
    <definedName name="ITEMDER" localSheetId="2">[1]SERVIÇO!#REF!</definedName>
    <definedName name="ITEMDER">[1]SERVIÇO!#REF!</definedName>
    <definedName name="ITEMEQP" localSheetId="2">[1]SERVIÇO!#REF!</definedName>
    <definedName name="ITEMEQP">[1]SERVIÇO!#REF!</definedName>
    <definedName name="ITEMMUR" localSheetId="2">[1]SERVIÇO!#REF!</definedName>
    <definedName name="ITEMMUR">[1]SERVIÇO!#REF!</definedName>
    <definedName name="ITEMR15" localSheetId="2">[1]SERVIÇO!#REF!</definedName>
    <definedName name="ITEMR15">[1]SERVIÇO!#REF!</definedName>
    <definedName name="ITEMR20" localSheetId="2">[1]SERVIÇO!#REF!</definedName>
    <definedName name="ITEMR20">[1]SERVIÇO!#REF!</definedName>
    <definedName name="ITEMTRANS" localSheetId="2">[1]SERVIÇO!#REF!</definedName>
    <definedName name="ITEMTRANS">[1]SERVIÇO!#REF!</definedName>
    <definedName name="ITENS" localSheetId="2">[1]SERVIÇO!#REF!</definedName>
    <definedName name="ITENS">[1]SERVIÇO!#REF!</definedName>
    <definedName name="ITENS0" localSheetId="2">[1]SERVIÇO!#REF!</definedName>
    <definedName name="ITENS0">[1]SERVIÇO!#REF!</definedName>
    <definedName name="ITENS1" localSheetId="2">[1]SERVIÇO!#REF!</definedName>
    <definedName name="ITENS1">[1]SERVIÇO!#REF!</definedName>
    <definedName name="ITENSP" localSheetId="2">[1]SERVIÇO!#REF!</definedName>
    <definedName name="ITENSP">[1]SERVIÇO!#REF!</definedName>
    <definedName name="ITENSPMED" localSheetId="2">[1]SERVIÇO!#REF!</definedName>
    <definedName name="ITENSPMED">[1]SERVIÇO!#REF!</definedName>
    <definedName name="LIN" localSheetId="2">[1]SERVIÇO!#REF!</definedName>
    <definedName name="LIN">[1]SERVIÇO!#REF!</definedName>
    <definedName name="LISTSEL" localSheetId="2">[1]SERVIÇO!#REF!</definedName>
    <definedName name="LISTSEL">[1]SERVIÇO!#REF!</definedName>
    <definedName name="LOCAB" localSheetId="2">[1]SERVIÇO!#REF!</definedName>
    <definedName name="LOCAB">[1]SERVIÇO!#REF!</definedName>
    <definedName name="LOCAL" localSheetId="2">[1]SERVIÇO!#REF!</definedName>
    <definedName name="LOCAL">[1]SERVIÇO!#REF!</definedName>
    <definedName name="MARCAX" localSheetId="2">[1]SERVIÇO!#REF!</definedName>
    <definedName name="MARCAX">[1]SERVIÇO!#REF!</definedName>
    <definedName name="MENUBOM" localSheetId="2">[1]SERVIÇO!#REF!</definedName>
    <definedName name="MENUBOM">[1]SERVIÇO!#REF!</definedName>
    <definedName name="MENUEQP" localSheetId="2">[1]SERVIÇO!#REF!</definedName>
    <definedName name="MENUEQP">[1]SERVIÇO!#REF!</definedName>
    <definedName name="MENUFIM" localSheetId="2">[1]SERVIÇO!#REF!</definedName>
    <definedName name="MENUFIM">[1]SERVIÇO!#REF!</definedName>
    <definedName name="MENUMED" localSheetId="2">[1]SERVIÇO!#REF!</definedName>
    <definedName name="MENUMED">[1]SERVIÇO!#REF!</definedName>
    <definedName name="MENUOBRA" localSheetId="2">[1]SERVIÇO!#REF!</definedName>
    <definedName name="MENUOBRA">[1]SERVIÇO!#REF!</definedName>
    <definedName name="MENUOUT" localSheetId="2">[1]SERVIÇO!#REF!</definedName>
    <definedName name="MENUOUT">[1]SERVIÇO!#REF!</definedName>
    <definedName name="MENUOUTRO" localSheetId="2">[1]SERVIÇO!#REF!</definedName>
    <definedName name="MENUOUTRO">[1]SERVIÇO!#REF!</definedName>
    <definedName name="menures" localSheetId="2">[1]SERVIÇO!#REF!</definedName>
    <definedName name="menures">[1]SERVIÇO!#REF!</definedName>
    <definedName name="MUNICIPIO" localSheetId="2">[1]SERVIÇO!#REF!</definedName>
    <definedName name="MUNICIPIO">[1]SERVIÇO!#REF!</definedName>
    <definedName name="MURBOMB" localSheetId="2">[1]SERVIÇO!#REF!</definedName>
    <definedName name="MURBOMB">[1]SERVIÇO!#REF!</definedName>
    <definedName name="NDATA" localSheetId="2">[1]SERVIÇO!#REF!</definedName>
    <definedName name="NDATA">[1]SERVIÇO!#REF!</definedName>
    <definedName name="NUCOPIAS" localSheetId="2">[1]SERVIÇO!#REF!</definedName>
    <definedName name="NUCOPIAS">[1]SERVIÇO!#REF!</definedName>
    <definedName name="OBRA" localSheetId="2">[1]SERVIÇO!#REF!</definedName>
    <definedName name="OBRA">[1]SERVIÇO!#REF!</definedName>
    <definedName name="OBRADUPL" localSheetId="2">[1]SERVIÇO!#REF!</definedName>
    <definedName name="OBRADUPL">[1]SERVIÇO!#REF!</definedName>
    <definedName name="OBRALOC" localSheetId="2">[1]SERVIÇO!#REF!</definedName>
    <definedName name="OBRALOC">[1]SERVIÇO!#REF!</definedName>
    <definedName name="OBRASEL" localSheetId="2">[1]SERVIÇO!#REF!</definedName>
    <definedName name="OBRASEL">[1]SERVIÇO!#REF!</definedName>
    <definedName name="PDER" localSheetId="2">[1]SERVIÇO!#REF!</definedName>
    <definedName name="PDER">[1]SERVIÇO!#REF!</definedName>
    <definedName name="PDIVERS" localSheetId="2">[1]SERVIÇO!#REF!</definedName>
    <definedName name="PDIVERS">[1]SERVIÇO!#REF!</definedName>
    <definedName name="PEMD" localSheetId="2">[1]SERVIÇO!#REF!</definedName>
    <definedName name="PEMD">[1]SERVIÇO!#REF!</definedName>
    <definedName name="PIEQUIP" localSheetId="2">[1]SERVIÇO!#REF!</definedName>
    <definedName name="PIEQUIP">[1]SERVIÇO!#REF!</definedName>
    <definedName name="PMUR" localSheetId="2">[1]SERVIÇO!#REF!</definedName>
    <definedName name="PMUR">[1]SERVIÇO!#REF!</definedName>
    <definedName name="PTGERAL" localSheetId="2">[1]SERVIÇO!#REF!</definedName>
    <definedName name="PTGERAL">[1]SERVIÇO!#REF!</definedName>
    <definedName name="QTNULO" localSheetId="2">[1]SERVIÇO!#REF!</definedName>
    <definedName name="QTNULO">[1]SERVIÇO!#REF!</definedName>
    <definedName name="QTPADRAO" localSheetId="2">[1]SERVIÇO!#REF!</definedName>
    <definedName name="QTPADRAO">[1]SERVIÇO!#REF!</definedName>
    <definedName name="QTRES" localSheetId="2">[1]SERVIÇO!#REF!</definedName>
    <definedName name="QTRES">[1]SERVIÇO!#REF!</definedName>
    <definedName name="QUANT" localSheetId="2">[1]SERVIÇO!#REF!</definedName>
    <definedName name="QUANT">[1]SERVIÇO!#REF!</definedName>
    <definedName name="QUANTP" localSheetId="2">[1]SERVIÇO!#REF!</definedName>
    <definedName name="QUANTP">[1]SERVIÇO!#REF!</definedName>
    <definedName name="RARQIMP" localSheetId="2">[1]SERVIÇO!#REF!</definedName>
    <definedName name="RARQIMP">[1]SERVIÇO!#REF!</definedName>
    <definedName name="RECADUC" localSheetId="2">[1]SERVIÇO!#REF!</definedName>
    <definedName name="RECADUC">[1]SERVIÇO!#REF!</definedName>
    <definedName name="ridbeb" localSheetId="2">[1]SERVIÇO!#REF!</definedName>
    <definedName name="ridbeb">[1]SERVIÇO!#REF!</definedName>
    <definedName name="RIDCHAF" localSheetId="2">[1]SERVIÇO!#REF!</definedName>
    <definedName name="RIDCHAF">[1]SERVIÇO!#REF!</definedName>
    <definedName name="ridres05" localSheetId="2">[1]SERVIÇO!#REF!</definedName>
    <definedName name="ridres05">[1]SERVIÇO!#REF!</definedName>
    <definedName name="RIDRES10" localSheetId="2">[1]SERVIÇO!#REF!</definedName>
    <definedName name="RIDRES10">[1]SERVIÇO!#REF!</definedName>
    <definedName name="RIDRES15" localSheetId="2">[1]SERVIÇO!#REF!</definedName>
    <definedName name="RIDRES15">[1]SERVIÇO!#REF!</definedName>
    <definedName name="ROMANO" localSheetId="2">[1]SERVIÇO!#REF!</definedName>
    <definedName name="ROMANO">[1]SERVIÇO!#REF!</definedName>
    <definedName name="ROTCOMP" localSheetId="2">[1]SERVIÇO!#REF!</definedName>
    <definedName name="ROTCOMP">[1]SERVIÇO!#REF!</definedName>
    <definedName name="ROTIMP" localSheetId="2">[1]SERVIÇO!#REF!</definedName>
    <definedName name="ROTIMP">[1]SERVIÇO!#REF!</definedName>
    <definedName name="ROTRES" localSheetId="2">[1]SERVIÇO!#REF!</definedName>
    <definedName name="ROTRES">[1]SERVIÇO!#REF!</definedName>
    <definedName name="RQTADUC" localSheetId="2">[1]SERVIÇO!#REF!</definedName>
    <definedName name="RQTADUC">[1]SERVIÇO!#REF!</definedName>
    <definedName name="rqtbeb" localSheetId="2">[1]SERVIÇO!#REF!</definedName>
    <definedName name="rqtbeb">[1]SERVIÇO!#REF!</definedName>
    <definedName name="RQTCHAF" localSheetId="2">[1]SERVIÇO!#REF!</definedName>
    <definedName name="RQTCHAF">[1]SERVIÇO!#REF!</definedName>
    <definedName name="RQTDERV" localSheetId="2">[1]SERVIÇO!#REF!</definedName>
    <definedName name="RQTDERV">[1]SERVIÇO!#REF!</definedName>
    <definedName name="rres05" localSheetId="2">[1]SERVIÇO!#REF!</definedName>
    <definedName name="rres05">[1]SERVIÇO!#REF!</definedName>
    <definedName name="RRES10" localSheetId="2">[1]SERVIÇO!#REF!</definedName>
    <definedName name="RRES10">[1]SERVIÇO!#REF!</definedName>
    <definedName name="RRES15" localSheetId="2">[1]SERVIÇO!#REF!</definedName>
    <definedName name="RRES15">[1]SERVIÇO!#REF!</definedName>
    <definedName name="RRES20" localSheetId="2">[1]SERVIÇO!#REF!</definedName>
    <definedName name="RRES20">[1]SERVIÇO!#REF!</definedName>
    <definedName name="RRR" localSheetId="2">[1]SERVIÇO!#REF!</definedName>
    <definedName name="RRR">[1]SERVIÇO!#REF!</definedName>
    <definedName name="RRTEMP" localSheetId="2">[1]SERVIÇO!#REF!</definedName>
    <definedName name="RRTEMP">[1]SERVIÇO!#REF!</definedName>
    <definedName name="RSEQ" localSheetId="2">[1]SERVIÇO!#REF!</definedName>
    <definedName name="RSEQ">[1]SERVIÇO!#REF!</definedName>
    <definedName name="RSUBTOT" localSheetId="2">[1]SERVIÇO!#REF!</definedName>
    <definedName name="RSUBTOT">[1]SERVIÇO!#REF!</definedName>
    <definedName name="rtitbeb" localSheetId="2">[1]SERVIÇO!#REF!</definedName>
    <definedName name="rtitbeb">[1]SERVIÇO!#REF!</definedName>
    <definedName name="RTITCHAF" localSheetId="2">[1]SERVIÇO!#REF!</definedName>
    <definedName name="RTITCHAF">[1]SERVIÇO!#REF!</definedName>
    <definedName name="rtubos" localSheetId="2">[1]SERVIÇO!#REF!</definedName>
    <definedName name="rtubos">[1]SERVIÇO!#REF!</definedName>
    <definedName name="SISTEM1" localSheetId="2">[1]SERVIÇO!#REF!</definedName>
    <definedName name="SISTEM1">[1]SERVIÇO!#REF!</definedName>
    <definedName name="SISTEM2" localSheetId="2">[1]SERVIÇO!#REF!</definedName>
    <definedName name="SISTEM2">[1]SERVIÇO!#REF!</definedName>
    <definedName name="SSS" localSheetId="2">[1]SERVIÇO!#REF!</definedName>
    <definedName name="SSS">[1]SERVIÇO!#REF!</definedName>
    <definedName name="SSTEMP" localSheetId="2">[1]SERVIÇO!#REF!</definedName>
    <definedName name="SSTEMP">[1]SERVIÇO!#REF!</definedName>
    <definedName name="SUBDER" localSheetId="2">[1]SERVIÇO!#REF!</definedName>
    <definedName name="SUBDER">[1]SERVIÇO!#REF!</definedName>
    <definedName name="SUBDIV" localSheetId="2">[1]SERVIÇO!#REF!</definedName>
    <definedName name="SUBDIV">[1]SERVIÇO!#REF!</definedName>
    <definedName name="SUBEQP" localSheetId="2">[1]SERVIÇO!#REF!</definedName>
    <definedName name="SUBEQP">[1]SERVIÇO!#REF!</definedName>
    <definedName name="SUBMUR" localSheetId="2">[1]SERVIÇO!#REF!</definedName>
    <definedName name="SUBMUR">[1]SERVIÇO!#REF!</definedName>
    <definedName name="titbeb" localSheetId="2">[1]SERVIÇO!#REF!</definedName>
    <definedName name="titbeb">[1]SERVIÇO!#REF!</definedName>
    <definedName name="TITCHAF" localSheetId="2">[1]SERVIÇO!#REF!</definedName>
    <definedName name="TITCHAF">[1]SERVIÇO!#REF!</definedName>
    <definedName name="TOTQTS" localSheetId="2">[1]SERVIÇO!#REF!</definedName>
    <definedName name="TOTQTS">[1]SERVIÇO!#REF!</definedName>
    <definedName name="TTT" localSheetId="2">[1]SERVIÇO!#REF!</definedName>
    <definedName name="TTT">[1]SERVIÇO!#REF!</definedName>
    <definedName name="TXTEQUIP" localSheetId="2">[1]SERVIÇO!#REF!</definedName>
    <definedName name="TXTEQUIP">[1]SERVIÇO!#REF!</definedName>
    <definedName name="TXTMARCA" localSheetId="2">[1]SERVIÇO!#REF!</definedName>
    <definedName name="TXTMARCA">[1]SERVIÇO!#REF!</definedName>
    <definedName name="TXTMOD" localSheetId="2">[1]SERVIÇO!#REF!</definedName>
    <definedName name="TXTMOD">[1]SERVIÇO!#REF!</definedName>
    <definedName name="TXTPOT" localSheetId="2">[1]SERVIÇO!#REF!</definedName>
    <definedName name="TXTPOT">[1]SERVIÇO!#REF!</definedName>
    <definedName name="WITENS" localSheetId="2">[1]SERVIÇO!#REF!</definedName>
    <definedName name="WITENS">[1]SERVIÇO!#REF!</definedName>
    <definedName name="WNMLOCAL" localSheetId="2">[1]SERVIÇO!#REF!</definedName>
    <definedName name="WNMLOCAL">[1]SERVIÇO!#REF!</definedName>
    <definedName name="WNMMUN" localSheetId="2">[1]SERVIÇO!#REF!</definedName>
    <definedName name="WNMMUN">[1]SERVIÇO!#REF!</definedName>
    <definedName name="WNMSERV" localSheetId="2">[1]SERVIÇO!#REF!</definedName>
    <definedName name="WNMSERV">[1]SERVIÇO!#REF!</definedName>
    <definedName name="XALFA" localSheetId="2">[1]SERVIÇO!#REF!</definedName>
    <definedName name="XALFA">[1]SERVIÇO!#REF!</definedName>
    <definedName name="XDATA" localSheetId="2">[1]SERVIÇO!#REF!</definedName>
    <definedName name="XDATA">[1]SERVIÇO!#REF!</definedName>
    <definedName name="XITEM" localSheetId="2">[1]SERVIÇO!#REF!</definedName>
    <definedName name="XITEM">[1]SERVIÇO!#REF!</definedName>
    <definedName name="XLOC" localSheetId="2">[1]SERVIÇO!#REF!</definedName>
    <definedName name="XLOC">[1]SERVIÇO!#REF!</definedName>
    <definedName name="xnInforme_quantos_bebedouros____bebqt__if_bebqt__0__xlQt.bebedouros_invalida___ENTER_p_reinformar__xresp__branch_rqtderv" localSheetId="2">[1]SERVIÇO!#REF!</definedName>
    <definedName name="xnInforme_quantos_bebedouros____bebqt__if_bebqt__0__xlQt.bebedouros_invalida___ENTER_p_reinformar__xresp__branch_rqtderv">[1]SERVIÇO!#REF!</definedName>
    <definedName name="XNUCOPIAS" localSheetId="2">[1]SERVIÇO!#REF!</definedName>
    <definedName name="XNUCOPIAS">[1]SERVIÇO!#REF!</definedName>
    <definedName name="XRESP" localSheetId="2">[1]SERVIÇO!#REF!</definedName>
    <definedName name="XRESP">[1]SERVIÇO!#REF!</definedName>
    <definedName name="XTITRES" localSheetId="2">[1]SERVIÇO!#REF!</definedName>
    <definedName name="XTITRES">[1]SERVIÇO!#REF!</definedName>
    <definedName name="ZECA" localSheetId="2">[1]SERVIÇO!#REF!</definedName>
    <definedName name="ZECA">[1]SERVIÇO!#REF!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9" i="1"/>
  <c r="B259"/>
  <c r="E259"/>
  <c r="E258"/>
  <c r="G258" s="1"/>
  <c r="E254"/>
  <c r="G254" s="1"/>
  <c r="E253"/>
  <c r="G253" s="1"/>
  <c r="E252"/>
  <c r="G252" s="1"/>
  <c r="G255"/>
  <c r="G256"/>
  <c r="G257"/>
  <c r="G260"/>
  <c r="G73"/>
  <c r="E67"/>
  <c r="G67" s="1"/>
  <c r="E74"/>
  <c r="E69"/>
  <c r="G69" s="1"/>
  <c r="E68"/>
  <c r="G68" s="1"/>
  <c r="G70"/>
  <c r="G71"/>
  <c r="G72"/>
  <c r="G75"/>
  <c r="F74"/>
  <c r="B74"/>
  <c r="H135" i="6"/>
  <c r="G259" i="1" l="1"/>
  <c r="G251" s="1"/>
  <c r="G74"/>
  <c r="H130" i="6" l="1"/>
  <c r="H131"/>
  <c r="H132"/>
  <c r="H133"/>
  <c r="H134"/>
  <c r="H129"/>
  <c r="G179" i="1"/>
  <c r="U23" i="2"/>
  <c r="E56" i="1"/>
  <c r="E57" s="1"/>
  <c r="G57" s="1"/>
  <c r="P18" i="7"/>
  <c r="F123" i="6"/>
  <c r="H123" s="1"/>
  <c r="H122"/>
  <c r="H121"/>
  <c r="H120"/>
  <c r="H119"/>
  <c r="H109"/>
  <c r="H98"/>
  <c r="C201" i="1"/>
  <c r="B201"/>
  <c r="C200"/>
  <c r="B200"/>
  <c r="H111" i="6"/>
  <c r="H110"/>
  <c r="H108"/>
  <c r="H107"/>
  <c r="H97"/>
  <c r="H100"/>
  <c r="H99"/>
  <c r="H96"/>
  <c r="C202" i="1"/>
  <c r="B202"/>
  <c r="H90" i="6"/>
  <c r="H89"/>
  <c r="H88"/>
  <c r="C199" i="1"/>
  <c r="B199"/>
  <c r="H82" i="6"/>
  <c r="H81"/>
  <c r="H80"/>
  <c r="G81" i="1"/>
  <c r="H71" i="6"/>
  <c r="H72"/>
  <c r="H73"/>
  <c r="H74"/>
  <c r="C203" i="1"/>
  <c r="B203"/>
  <c r="G198"/>
  <c r="G195"/>
  <c r="G196"/>
  <c r="G194"/>
  <c r="G197"/>
  <c r="G193"/>
  <c r="E183"/>
  <c r="H21" i="6"/>
  <c r="F11" i="1"/>
  <c r="G50"/>
  <c r="G144"/>
  <c r="F65" i="6"/>
  <c r="H65" s="1"/>
  <c r="H61"/>
  <c r="H53"/>
  <c r="H52"/>
  <c r="H45"/>
  <c r="H44"/>
  <c r="H43"/>
  <c r="H42"/>
  <c r="H41"/>
  <c r="H40"/>
  <c r="H39"/>
  <c r="H62"/>
  <c r="H63"/>
  <c r="H64"/>
  <c r="C83" i="1"/>
  <c r="B83"/>
  <c r="G85"/>
  <c r="G84"/>
  <c r="G116"/>
  <c r="G115" s="1"/>
  <c r="E19" i="7" s="1"/>
  <c r="G108" i="1"/>
  <c r="G107"/>
  <c r="E105"/>
  <c r="G105" s="1"/>
  <c r="C80"/>
  <c r="B80"/>
  <c r="G114"/>
  <c r="G113" s="1"/>
  <c r="E20" i="7" s="1"/>
  <c r="Q20" s="1"/>
  <c r="C25" i="2" s="1"/>
  <c r="B112" i="1"/>
  <c r="C112"/>
  <c r="E171"/>
  <c r="G171" s="1"/>
  <c r="E65"/>
  <c r="G65" s="1"/>
  <c r="G79"/>
  <c r="G77"/>
  <c r="G78"/>
  <c r="G56" l="1"/>
  <c r="H124" i="6"/>
  <c r="H83"/>
  <c r="F199" i="1" s="1"/>
  <c r="G199" s="1"/>
  <c r="H112" i="6"/>
  <c r="F201" i="1" s="1"/>
  <c r="G201" s="1"/>
  <c r="H101" i="6"/>
  <c r="F200" i="1" s="1"/>
  <c r="G200" s="1"/>
  <c r="H91" i="6"/>
  <c r="F202" i="1" s="1"/>
  <c r="G202" s="1"/>
  <c r="H75" i="6"/>
  <c r="H46"/>
  <c r="F203" i="1" s="1"/>
  <c r="G203" s="1"/>
  <c r="H54" i="6"/>
  <c r="F83" i="1" s="1"/>
  <c r="G83" s="1"/>
  <c r="H66" i="6"/>
  <c r="G66" i="1" s="1"/>
  <c r="G106"/>
  <c r="E14" i="7" s="1"/>
  <c r="G156" i="1"/>
  <c r="G162"/>
  <c r="G161"/>
  <c r="G160"/>
  <c r="G45"/>
  <c r="E43"/>
  <c r="G43" s="1"/>
  <c r="G41"/>
  <c r="G48"/>
  <c r="G37"/>
  <c r="G39"/>
  <c r="I9" i="7" s="1"/>
  <c r="G34" i="1"/>
  <c r="G19"/>
  <c r="G146"/>
  <c r="G153"/>
  <c r="G111"/>
  <c r="G110"/>
  <c r="G140"/>
  <c r="G129"/>
  <c r="G181"/>
  <c r="E180"/>
  <c r="G180" s="1"/>
  <c r="E178"/>
  <c r="G178" s="1"/>
  <c r="G192" l="1"/>
  <c r="G145"/>
  <c r="H12" i="7" s="1"/>
  <c r="G139" i="1"/>
  <c r="G17" i="7" s="1"/>
  <c r="G44" i="1"/>
  <c r="I17" i="7" s="1"/>
  <c r="G82" i="1"/>
  <c r="D19" i="7" s="1"/>
  <c r="Q19" s="1"/>
  <c r="C24" i="2" s="1"/>
  <c r="G33" i="1"/>
  <c r="C17" i="7" s="1"/>
  <c r="G40" i="1"/>
  <c r="G36"/>
  <c r="G155"/>
  <c r="G128"/>
  <c r="F17" i="7" s="1"/>
  <c r="G152" i="1"/>
  <c r="H17" i="7" s="1"/>
  <c r="G38" i="1"/>
  <c r="G42"/>
  <c r="D18" i="7"/>
  <c r="Q18" s="1"/>
  <c r="C23" i="2" s="1"/>
  <c r="L17" i="7"/>
  <c r="F80" i="1"/>
  <c r="G80" s="1"/>
  <c r="G159"/>
  <c r="J17" i="7" s="1"/>
  <c r="F112" i="1"/>
  <c r="G112" s="1"/>
  <c r="G76" l="1"/>
  <c r="I14" i="7"/>
  <c r="J6"/>
  <c r="G109" i="1"/>
  <c r="E17" i="7" s="1"/>
  <c r="I6"/>
  <c r="I11"/>
  <c r="G35" i="1"/>
  <c r="A6" i="6"/>
  <c r="U20" i="2"/>
  <c r="U21"/>
  <c r="U22"/>
  <c r="U26"/>
  <c r="B26"/>
  <c r="B22"/>
  <c r="B21"/>
  <c r="B20"/>
  <c r="B19"/>
  <c r="B18"/>
  <c r="B17"/>
  <c r="B16"/>
  <c r="B15"/>
  <c r="B14"/>
  <c r="B13"/>
  <c r="B12"/>
  <c r="B11"/>
  <c r="E177" i="1"/>
  <c r="G177" s="1"/>
  <c r="G176" s="1"/>
  <c r="G52"/>
  <c r="I22" i="7" l="1"/>
  <c r="L12"/>
  <c r="G51" i="1"/>
  <c r="D7"/>
  <c r="E265"/>
  <c r="E264"/>
  <c r="D12" i="7" l="1"/>
  <c r="H32" i="6"/>
  <c r="H31"/>
  <c r="G30"/>
  <c r="H30" s="1"/>
  <c r="G265" i="1"/>
  <c r="G264"/>
  <c r="G263"/>
  <c r="G250"/>
  <c r="E248"/>
  <c r="G248" s="1"/>
  <c r="E245"/>
  <c r="G245" s="1"/>
  <c r="E243"/>
  <c r="G243" s="1"/>
  <c r="G241"/>
  <c r="E239"/>
  <c r="G239" s="1"/>
  <c r="G236"/>
  <c r="G235"/>
  <c r="G233"/>
  <c r="E230"/>
  <c r="G230" s="1"/>
  <c r="G228"/>
  <c r="G227"/>
  <c r="E225"/>
  <c r="E226" s="1"/>
  <c r="G226" s="1"/>
  <c r="E221"/>
  <c r="G221" s="1"/>
  <c r="E220"/>
  <c r="E222" s="1"/>
  <c r="G222" s="1"/>
  <c r="E218"/>
  <c r="G218" s="1"/>
  <c r="E216"/>
  <c r="G216" s="1"/>
  <c r="E212"/>
  <c r="G212" s="1"/>
  <c r="G211"/>
  <c r="E209"/>
  <c r="G209" s="1"/>
  <c r="G208"/>
  <c r="E207"/>
  <c r="G207" s="1"/>
  <c r="E206"/>
  <c r="G206" s="1"/>
  <c r="G191"/>
  <c r="G190"/>
  <c r="E188"/>
  <c r="G188" s="1"/>
  <c r="G187"/>
  <c r="G186"/>
  <c r="E184"/>
  <c r="G184" s="1"/>
  <c r="G183"/>
  <c r="E175"/>
  <c r="G175" s="1"/>
  <c r="E174"/>
  <c r="G174" s="1"/>
  <c r="E173"/>
  <c r="G173" s="1"/>
  <c r="E170"/>
  <c r="G170" s="1"/>
  <c r="E169"/>
  <c r="G169" s="1"/>
  <c r="E168"/>
  <c r="G168" s="1"/>
  <c r="E167"/>
  <c r="G167" s="1"/>
  <c r="G182" l="1"/>
  <c r="G166"/>
  <c r="L6" i="7" s="1"/>
  <c r="G240" i="1"/>
  <c r="O9" i="7" s="1"/>
  <c r="G217" i="1"/>
  <c r="M7" i="7" s="1"/>
  <c r="G234" i="1"/>
  <c r="G189"/>
  <c r="L15" i="7" s="1"/>
  <c r="G238" i="1"/>
  <c r="G185"/>
  <c r="G262"/>
  <c r="C25" i="7" s="1"/>
  <c r="C26" i="2" s="1"/>
  <c r="G215" i="1"/>
  <c r="G232"/>
  <c r="E244"/>
  <c r="G244" s="1"/>
  <c r="G172"/>
  <c r="G229"/>
  <c r="E249"/>
  <c r="G249" s="1"/>
  <c r="E213"/>
  <c r="G213" s="1"/>
  <c r="H33" i="6"/>
  <c r="F205" i="1" s="1"/>
  <c r="G205" s="1"/>
  <c r="G225"/>
  <c r="L13" i="7"/>
  <c r="Q13" s="1"/>
  <c r="C18" i="2" s="1"/>
  <c r="G220" i="1"/>
  <c r="E223"/>
  <c r="G223" s="1"/>
  <c r="E224"/>
  <c r="G224" s="1"/>
  <c r="G204" l="1"/>
  <c r="L10" i="7" s="1"/>
  <c r="G210" i="1"/>
  <c r="M10" i="7"/>
  <c r="G231" i="1"/>
  <c r="L7" i="7"/>
  <c r="G247" i="1"/>
  <c r="G246" s="1"/>
  <c r="G242"/>
  <c r="M6" i="7"/>
  <c r="G219" i="1"/>
  <c r="M12" i="7" s="1"/>
  <c r="N14"/>
  <c r="O7"/>
  <c r="L16"/>
  <c r="N16"/>
  <c r="L14"/>
  <c r="P14" l="1"/>
  <c r="P22" s="1"/>
  <c r="L22"/>
  <c r="G214" i="1"/>
  <c r="G237"/>
  <c r="O14" i="7"/>
  <c r="O22" s="1"/>
  <c r="G165" i="1"/>
  <c r="M22" i="7"/>
  <c r="N22"/>
  <c r="Q16"/>
  <c r="C21" i="2" s="1"/>
  <c r="L23" i="7" l="1"/>
  <c r="C28" i="1"/>
  <c r="B28"/>
  <c r="E8" i="6"/>
  <c r="H23"/>
  <c r="H22"/>
  <c r="H20"/>
  <c r="G8"/>
  <c r="A8"/>
  <c r="H24" l="1"/>
  <c r="F28" i="1" s="1"/>
  <c r="G28" s="1"/>
  <c r="E99"/>
  <c r="G99" s="1"/>
  <c r="E54"/>
  <c r="E55" s="1"/>
  <c r="G55" s="1"/>
  <c r="E98"/>
  <c r="E97"/>
  <c r="E95"/>
  <c r="G95" s="1"/>
  <c r="Q11" i="7"/>
  <c r="C16" i="2" s="1"/>
  <c r="E21" i="1"/>
  <c r="G21" s="1"/>
  <c r="E32"/>
  <c r="G32" s="1"/>
  <c r="G26"/>
  <c r="G25"/>
  <c r="E18"/>
  <c r="G18" s="1"/>
  <c r="E150"/>
  <c r="E120"/>
  <c r="E89"/>
  <c r="E103"/>
  <c r="G103" s="1"/>
  <c r="E104"/>
  <c r="E92"/>
  <c r="G64"/>
  <c r="G17" l="1"/>
  <c r="G20"/>
  <c r="G27"/>
  <c r="G24"/>
  <c r="C15" i="7" s="1"/>
  <c r="Q15" s="1"/>
  <c r="C20" i="2" s="1"/>
  <c r="D17" i="7"/>
  <c r="Q17" s="1"/>
  <c r="C22" i="2" s="1"/>
  <c r="G54" i="1"/>
  <c r="G53" s="1"/>
  <c r="C10" i="7"/>
  <c r="E23" i="1"/>
  <c r="C7" i="7" l="1"/>
  <c r="C6"/>
  <c r="A5" i="4"/>
  <c r="E7"/>
  <c r="A5" i="3"/>
  <c r="A12" s="1"/>
  <c r="E7"/>
  <c r="E66" i="2"/>
  <c r="E111" s="1"/>
  <c r="E7"/>
  <c r="E68" s="1"/>
  <c r="E113" s="1"/>
  <c r="A5"/>
  <c r="A66" s="1"/>
  <c r="A111" s="1"/>
  <c r="J47" i="4"/>
  <c r="I47"/>
  <c r="H47"/>
  <c r="G47"/>
  <c r="J43"/>
  <c r="I43"/>
  <c r="H43"/>
  <c r="G43"/>
  <c r="J36"/>
  <c r="I36"/>
  <c r="H36"/>
  <c r="G36"/>
  <c r="J24"/>
  <c r="J49" s="1"/>
  <c r="I24"/>
  <c r="I49" s="1"/>
  <c r="H24"/>
  <c r="H49" s="1"/>
  <c r="G24"/>
  <c r="G49" s="1"/>
  <c r="A7"/>
  <c r="H36" i="3"/>
  <c r="C35" s="1"/>
  <c r="C38" s="1"/>
  <c r="C30"/>
  <c r="C26"/>
  <c r="A7"/>
  <c r="E13"/>
  <c r="U37" i="2"/>
  <c r="U34"/>
  <c r="U32"/>
  <c r="B31"/>
  <c r="I29"/>
  <c r="G29"/>
  <c r="U28"/>
  <c r="U19"/>
  <c r="U18"/>
  <c r="U17"/>
  <c r="U16"/>
  <c r="U15"/>
  <c r="U14"/>
  <c r="U13"/>
  <c r="V12"/>
  <c r="U12"/>
  <c r="U11"/>
  <c r="U7"/>
  <c r="A7"/>
  <c r="A68" s="1"/>
  <c r="A113" s="1"/>
  <c r="W6"/>
  <c r="A3"/>
  <c r="A64" s="1"/>
  <c r="A109" s="1"/>
  <c r="A2"/>
  <c r="A63" s="1"/>
  <c r="A108" s="1"/>
  <c r="A1"/>
  <c r="E25" l="1"/>
  <c r="F25" s="1"/>
  <c r="H25" s="1"/>
  <c r="E24"/>
  <c r="F24" s="1"/>
  <c r="H24" s="1"/>
  <c r="E23"/>
  <c r="F23" s="1"/>
  <c r="H23" s="1"/>
  <c r="E26"/>
  <c r="F26" s="1"/>
  <c r="H26" s="1"/>
  <c r="D14" i="7"/>
  <c r="E22" i="2"/>
  <c r="F22" s="1"/>
  <c r="E16"/>
  <c r="F16" s="1"/>
  <c r="E20"/>
  <c r="F20" s="1"/>
  <c r="E21"/>
  <c r="F21" s="1"/>
  <c r="E18"/>
  <c r="F18" s="1"/>
  <c r="C45" i="3"/>
  <c r="H22" i="2" l="1"/>
  <c r="J22"/>
  <c r="J26"/>
  <c r="J20"/>
  <c r="H20"/>
  <c r="J21"/>
  <c r="H21"/>
  <c r="G158" i="1"/>
  <c r="G151"/>
  <c r="G150"/>
  <c r="G148"/>
  <c r="E143"/>
  <c r="G143" s="1"/>
  <c r="G138"/>
  <c r="E137"/>
  <c r="G137" s="1"/>
  <c r="G135"/>
  <c r="E133"/>
  <c r="G133" s="1"/>
  <c r="E132"/>
  <c r="G132" s="1"/>
  <c r="G127"/>
  <c r="G125"/>
  <c r="E123"/>
  <c r="G123" s="1"/>
  <c r="E122"/>
  <c r="G122" s="1"/>
  <c r="G120"/>
  <c r="G119"/>
  <c r="G104"/>
  <c r="G101"/>
  <c r="G98"/>
  <c r="G97"/>
  <c r="G94"/>
  <c r="G93"/>
  <c r="G92"/>
  <c r="G90"/>
  <c r="G89"/>
  <c r="E88"/>
  <c r="G88" s="1"/>
  <c r="G63"/>
  <c r="G61"/>
  <c r="G59"/>
  <c r="E49"/>
  <c r="G49" s="1"/>
  <c r="E31"/>
  <c r="G31" s="1"/>
  <c r="G23"/>
  <c r="E13"/>
  <c r="G13" s="1"/>
  <c r="G12"/>
  <c r="G11"/>
  <c r="G134" l="1"/>
  <c r="G47"/>
  <c r="G100"/>
  <c r="G124"/>
  <c r="G147"/>
  <c r="G62"/>
  <c r="G126"/>
  <c r="G58"/>
  <c r="G142"/>
  <c r="G157"/>
  <c r="J9" i="7" s="1"/>
  <c r="J22" s="1"/>
  <c r="G102" i="1"/>
  <c r="G22"/>
  <c r="G60"/>
  <c r="G136"/>
  <c r="G91"/>
  <c r="G96"/>
  <c r="G149"/>
  <c r="G118"/>
  <c r="G87"/>
  <c r="G121"/>
  <c r="G131"/>
  <c r="G10"/>
  <c r="G30"/>
  <c r="G46" l="1"/>
  <c r="E12" i="7"/>
  <c r="Q12" s="1"/>
  <c r="C17" i="2" s="1"/>
  <c r="E17" s="1"/>
  <c r="F17" s="1"/>
  <c r="G154" i="1"/>
  <c r="G9" i="7"/>
  <c r="E7"/>
  <c r="Q7" s="1"/>
  <c r="C12" i="2" s="1"/>
  <c r="E12" s="1"/>
  <c r="F12" s="1"/>
  <c r="E9" i="7"/>
  <c r="G6"/>
  <c r="G141" i="1"/>
  <c r="G10" i="7"/>
  <c r="E10"/>
  <c r="H6"/>
  <c r="E6"/>
  <c r="D8"/>
  <c r="Q8" s="1"/>
  <c r="C13" i="2" s="1"/>
  <c r="E13" s="1"/>
  <c r="F13" s="1"/>
  <c r="F6" i="7"/>
  <c r="C9"/>
  <c r="F9"/>
  <c r="D6"/>
  <c r="F10"/>
  <c r="D9"/>
  <c r="H9"/>
  <c r="G86" i="1"/>
  <c r="G29"/>
  <c r="D10" i="7"/>
  <c r="G117" i="1"/>
  <c r="G130"/>
  <c r="C3" i="7"/>
  <c r="C31" i="2"/>
  <c r="E31" s="1"/>
  <c r="H10" i="7"/>
  <c r="J18" i="2"/>
  <c r="H18"/>
  <c r="N18"/>
  <c r="L18"/>
  <c r="F22" i="7" l="1"/>
  <c r="G22"/>
  <c r="E22"/>
  <c r="H22"/>
  <c r="Q9"/>
  <c r="C14" i="2" s="1"/>
  <c r="E14" s="1"/>
  <c r="F14" s="1"/>
  <c r="C14" i="7"/>
  <c r="Q14" s="1"/>
  <c r="C19" i="2" s="1"/>
  <c r="E19" s="1"/>
  <c r="F19" s="1"/>
  <c r="G16" i="1"/>
  <c r="Q10" i="7"/>
  <c r="C15" i="2" s="1"/>
  <c r="E15" s="1"/>
  <c r="F15" s="1"/>
  <c r="H16"/>
  <c r="J17"/>
  <c r="N13"/>
  <c r="D22" i="7"/>
  <c r="Q6"/>
  <c r="N16" i="2"/>
  <c r="L16"/>
  <c r="J16"/>
  <c r="C33"/>
  <c r="N17"/>
  <c r="L17"/>
  <c r="H17"/>
  <c r="J13"/>
  <c r="H13"/>
  <c r="L13"/>
  <c r="E33"/>
  <c r="F31"/>
  <c r="L19" l="1"/>
  <c r="H14"/>
  <c r="L15"/>
  <c r="L14"/>
  <c r="J14"/>
  <c r="J19"/>
  <c r="N14"/>
  <c r="H19"/>
  <c r="N19"/>
  <c r="C22" i="7"/>
  <c r="C23" s="1"/>
  <c r="C27" s="1"/>
  <c r="C28" s="1"/>
  <c r="C29" s="1"/>
  <c r="G15" i="1"/>
  <c r="N15" i="2"/>
  <c r="H15"/>
  <c r="J15"/>
  <c r="C11"/>
  <c r="Q23" i="7"/>
  <c r="Q27" s="1"/>
  <c r="N12" i="2"/>
  <c r="L12"/>
  <c r="J12"/>
  <c r="H12"/>
  <c r="F33"/>
  <c r="C27" l="1"/>
  <c r="C35" s="1"/>
  <c r="E11"/>
  <c r="E27" l="1"/>
  <c r="E35" s="1"/>
  <c r="F11"/>
  <c r="F27" l="1"/>
  <c r="F35" s="1"/>
  <c r="L11"/>
  <c r="H11"/>
  <c r="H27" s="1"/>
  <c r="J11"/>
  <c r="J27" s="1"/>
  <c r="N11"/>
  <c r="G27" l="1"/>
  <c r="I27"/>
  <c r="I31" s="1"/>
  <c r="G31" l="1"/>
  <c r="U27"/>
  <c r="J31"/>
  <c r="J33" s="1"/>
  <c r="J35" s="1"/>
  <c r="I33"/>
  <c r="I35" l="1"/>
  <c r="W12"/>
  <c r="U31"/>
  <c r="H31"/>
  <c r="H33" s="1"/>
  <c r="H35" l="1"/>
  <c r="G33"/>
  <c r="U33" s="1"/>
  <c r="G35" l="1"/>
  <c r="W11"/>
  <c r="H36"/>
  <c r="J36" s="1"/>
  <c r="U35" l="1"/>
  <c r="G36"/>
  <c r="G164" i="1"/>
  <c r="X11" i="2" l="1"/>
  <c r="I36"/>
  <c r="X12" s="1"/>
  <c r="G267" i="1"/>
  <c r="G268" l="1"/>
  <c r="G269" l="1"/>
  <c r="H11" l="1"/>
  <c r="H19"/>
  <c r="H23"/>
  <c r="H27"/>
  <c r="H31"/>
  <c r="H35"/>
  <c r="H39"/>
  <c r="H43"/>
  <c r="H47"/>
  <c r="H51"/>
  <c r="H55"/>
  <c r="H59"/>
  <c r="H63"/>
  <c r="H77"/>
  <c r="H81"/>
  <c r="H85"/>
  <c r="H89"/>
  <c r="H93"/>
  <c r="H97"/>
  <c r="H101"/>
  <c r="H105"/>
  <c r="H109"/>
  <c r="H113"/>
  <c r="H117"/>
  <c r="H121"/>
  <c r="H125"/>
  <c r="H129"/>
  <c r="H133"/>
  <c r="H137"/>
  <c r="H141"/>
  <c r="H145"/>
  <c r="H149"/>
  <c r="H153"/>
  <c r="H157"/>
  <c r="H161"/>
  <c r="H165"/>
  <c r="H169"/>
  <c r="H173"/>
  <c r="H177"/>
  <c r="H181"/>
  <c r="H185"/>
  <c r="H189"/>
  <c r="H193"/>
  <c r="H196"/>
  <c r="H198"/>
  <c r="H202"/>
  <c r="H206"/>
  <c r="H210"/>
  <c r="H214"/>
  <c r="H218"/>
  <c r="H222"/>
  <c r="H226"/>
  <c r="H230"/>
  <c r="H234"/>
  <c r="H238"/>
  <c r="H242"/>
  <c r="H246"/>
  <c r="H250"/>
  <c r="H262"/>
  <c r="H266"/>
  <c r="H12"/>
  <c r="H16"/>
  <c r="H20"/>
  <c r="H24"/>
  <c r="H28"/>
  <c r="H32"/>
  <c r="H36"/>
  <c r="H40"/>
  <c r="H44"/>
  <c r="H48"/>
  <c r="H52"/>
  <c r="H56"/>
  <c r="H60"/>
  <c r="H64"/>
  <c r="H74"/>
  <c r="H78"/>
  <c r="H82"/>
  <c r="H86"/>
  <c r="H90"/>
  <c r="H94"/>
  <c r="H98"/>
  <c r="H102"/>
  <c r="H106"/>
  <c r="H110"/>
  <c r="H114"/>
  <c r="H118"/>
  <c r="H122"/>
  <c r="H126"/>
  <c r="H130"/>
  <c r="H134"/>
  <c r="H138"/>
  <c r="H142"/>
  <c r="H146"/>
  <c r="H150"/>
  <c r="H154"/>
  <c r="H158"/>
  <c r="H162"/>
  <c r="H166"/>
  <c r="H170"/>
  <c r="H174"/>
  <c r="H178"/>
  <c r="H182"/>
  <c r="H186"/>
  <c r="H190"/>
  <c r="H194"/>
  <c r="H197"/>
  <c r="H199"/>
  <c r="H203"/>
  <c r="H207"/>
  <c r="H211"/>
  <c r="H215"/>
  <c r="H219"/>
  <c r="H223"/>
  <c r="H227"/>
  <c r="H231"/>
  <c r="H235"/>
  <c r="H239"/>
  <c r="H243"/>
  <c r="H247"/>
  <c r="H251"/>
  <c r="H263"/>
  <c r="H13"/>
  <c r="H17"/>
  <c r="H21"/>
  <c r="H25"/>
  <c r="H29"/>
  <c r="H33"/>
  <c r="H37"/>
  <c r="H41"/>
  <c r="H45"/>
  <c r="H49"/>
  <c r="H53"/>
  <c r="H57"/>
  <c r="H61"/>
  <c r="H65"/>
  <c r="H75"/>
  <c r="H79"/>
  <c r="H83"/>
  <c r="H87"/>
  <c r="H91"/>
  <c r="H95"/>
  <c r="H99"/>
  <c r="H103"/>
  <c r="H107"/>
  <c r="H111"/>
  <c r="H115"/>
  <c r="H119"/>
  <c r="H123"/>
  <c r="H127"/>
  <c r="H131"/>
  <c r="H135"/>
  <c r="H139"/>
  <c r="H143"/>
  <c r="H147"/>
  <c r="H151"/>
  <c r="H155"/>
  <c r="H159"/>
  <c r="H163"/>
  <c r="H167"/>
  <c r="H171"/>
  <c r="H175"/>
  <c r="H179"/>
  <c r="H183"/>
  <c r="H187"/>
  <c r="H191"/>
  <c r="H195"/>
  <c r="H200"/>
  <c r="H204"/>
  <c r="H208"/>
  <c r="H212"/>
  <c r="H216"/>
  <c r="H220"/>
  <c r="H224"/>
  <c r="H228"/>
  <c r="H232"/>
  <c r="H236"/>
  <c r="H240"/>
  <c r="H244"/>
  <c r="H248"/>
  <c r="H264"/>
  <c r="H14"/>
  <c r="H18"/>
  <c r="H22"/>
  <c r="H26"/>
  <c r="H30"/>
  <c r="H34"/>
  <c r="H38"/>
  <c r="H42"/>
  <c r="H50"/>
  <c r="H54"/>
  <c r="H58"/>
  <c r="H62"/>
  <c r="H66"/>
  <c r="H76"/>
  <c r="H80"/>
  <c r="H84"/>
  <c r="H88"/>
  <c r="H92"/>
  <c r="H96"/>
  <c r="H100"/>
  <c r="H104"/>
  <c r="H108"/>
  <c r="H112"/>
  <c r="H116"/>
  <c r="H120"/>
  <c r="H124"/>
  <c r="H128"/>
  <c r="H132"/>
  <c r="H136"/>
  <c r="H140"/>
  <c r="H144"/>
  <c r="H148"/>
  <c r="H152"/>
  <c r="H156"/>
  <c r="H160"/>
  <c r="H164"/>
  <c r="H168"/>
  <c r="H172"/>
  <c r="H176"/>
  <c r="H180"/>
  <c r="H184"/>
  <c r="H188"/>
  <c r="H192"/>
  <c r="H201"/>
  <c r="H205"/>
  <c r="H209"/>
  <c r="H213"/>
  <c r="H217"/>
  <c r="H221"/>
  <c r="H225"/>
  <c r="H229"/>
  <c r="H233"/>
  <c r="H237"/>
  <c r="H241"/>
  <c r="H245"/>
  <c r="H249"/>
  <c r="H261"/>
  <c r="H265"/>
  <c r="H269"/>
  <c r="H72"/>
  <c r="H69"/>
  <c r="H71"/>
  <c r="H73"/>
  <c r="H68"/>
  <c r="H67"/>
  <c r="H70"/>
  <c r="H46"/>
  <c r="H15"/>
  <c r="H267"/>
  <c r="H268"/>
  <c r="G7" i="2"/>
  <c r="H10" i="1"/>
  <c r="F7"/>
  <c r="D25" i="2" l="1"/>
  <c r="D23"/>
  <c r="D24"/>
  <c r="D26"/>
  <c r="D20"/>
  <c r="D21"/>
  <c r="D16"/>
  <c r="D22"/>
  <c r="D18"/>
  <c r="D12"/>
  <c r="D13"/>
  <c r="D17"/>
  <c r="D19"/>
  <c r="D15"/>
  <c r="D14"/>
  <c r="D11"/>
  <c r="D31"/>
  <c r="D33" s="1"/>
  <c r="I7"/>
  <c r="V36"/>
  <c r="G68"/>
  <c r="D27" l="1"/>
  <c r="D35" s="1"/>
  <c r="G113"/>
  <c r="I113" s="1"/>
  <c r="I68"/>
</calcChain>
</file>

<file path=xl/sharedStrings.xml><?xml version="1.0" encoding="utf-8"?>
<sst xmlns="http://schemas.openxmlformats.org/spreadsheetml/2006/main" count="1191" uniqueCount="654">
  <si>
    <t>M2</t>
  </si>
  <si>
    <t>PINTURA</t>
  </si>
  <si>
    <t>FORRO</t>
  </si>
  <si>
    <t>DEMOLIÇÕES / REMOÇÕES</t>
  </si>
  <si>
    <t>ESQUADRAS E DIVISÓRIAS</t>
  </si>
  <si>
    <t>M3</t>
  </si>
  <si>
    <t>APLICAÇÃO MANUAL DE PINTURA COM TINTA LÁTEX ACRÍLICA EM PAREDES, DUAS DEMÃOS. AF_06/2014</t>
  </si>
  <si>
    <t>04942/ORSE</t>
  </si>
  <si>
    <t>INSTALAÇÕES HIDROSANITÁRIAS</t>
  </si>
  <si>
    <t>UND</t>
  </si>
  <si>
    <t>M</t>
  </si>
  <si>
    <t>08228/ORSE</t>
  </si>
  <si>
    <t>PARA ALVENARIA E REVESTIMENTOS</t>
  </si>
  <si>
    <t>UNIVERSIDADE FEDERAL DA BAHIA</t>
  </si>
  <si>
    <t>SUPERINTENDÊNCIA DE MEIO AMBIENTE E INFRAESTRUTURA</t>
  </si>
  <si>
    <t>COORDENAÇÃO DE ORÇAMENTO E PLANEJAMENTO</t>
  </si>
  <si>
    <t>Obra:</t>
  </si>
  <si>
    <t>Data:</t>
  </si>
  <si>
    <t>Endereço:</t>
  </si>
  <si>
    <t>ESTIMATIVA DE CUSTO</t>
  </si>
  <si>
    <t>ITEM</t>
  </si>
  <si>
    <t>REFERÊNCIA</t>
  </si>
  <si>
    <t>DISCRIMINAÇÃO DOS SERVIÇOS</t>
  </si>
  <si>
    <t>QTD</t>
  </si>
  <si>
    <t>PREÇO UNITÁRIO</t>
  </si>
  <si>
    <t>PREÇO TOTAL</t>
  </si>
  <si>
    <t>ADMINISTRAÇÃO LOCAL</t>
  </si>
  <si>
    <t>1.1</t>
  </si>
  <si>
    <t>MÊS</t>
  </si>
  <si>
    <t>Rua Prof. Aristides Novis nº 02 Federação, CEP: 40210-630. Salvador - Bahia - Brasil</t>
  </si>
  <si>
    <t>SUBTOTAL :</t>
  </si>
  <si>
    <t>B.D.I.:</t>
  </si>
  <si>
    <t>TOTAL :</t>
  </si>
  <si>
    <t xml:space="preserve">OBSERVAÇÕES: </t>
  </si>
  <si>
    <t>João Lucas de Araújo Santos</t>
  </si>
  <si>
    <t>Téc. Em Edificações</t>
  </si>
  <si>
    <t>Coordenação de Orçamento e Planejamento / SUMAI</t>
  </si>
  <si>
    <t>Paulo Márcio de M. Brito</t>
  </si>
  <si>
    <t>Engenheiro</t>
  </si>
  <si>
    <t>SIAPE: 0284229     CREA-BA 29.315-D</t>
  </si>
  <si>
    <t>2 - FORNECIDO APENAS O PROJETO ARQUITETÔNICO, SEM PLANILHA DE QUANTITATIVOS;</t>
  </si>
  <si>
    <t>2.1</t>
  </si>
  <si>
    <t>3.1</t>
  </si>
  <si>
    <t>4.1</t>
  </si>
  <si>
    <t>5.1</t>
  </si>
  <si>
    <t>5.2</t>
  </si>
  <si>
    <t>6.1</t>
  </si>
  <si>
    <t>7.1</t>
  </si>
  <si>
    <t>7.2</t>
  </si>
  <si>
    <t>7.3</t>
  </si>
  <si>
    <t>8.1</t>
  </si>
  <si>
    <t>9.1</t>
  </si>
  <si>
    <t>10.1</t>
  </si>
  <si>
    <t>11.1</t>
  </si>
  <si>
    <t>12.1</t>
  </si>
  <si>
    <t>13.1</t>
  </si>
  <si>
    <t>15.1</t>
  </si>
  <si>
    <t>16.1</t>
  </si>
  <si>
    <t>17.1</t>
  </si>
  <si>
    <t>18.1</t>
  </si>
  <si>
    <t>19.1</t>
  </si>
  <si>
    <t>20.1</t>
  </si>
  <si>
    <t>21.1</t>
  </si>
  <si>
    <t>22.1</t>
  </si>
  <si>
    <t>23.1</t>
  </si>
  <si>
    <t>24.1</t>
  </si>
  <si>
    <t>24.2</t>
  </si>
  <si>
    <t>SIAPE: 1995165</t>
  </si>
  <si>
    <t>FORRO EM PLACAS DE GESSO, PARA AMBIENTES COMERCIAIS. AF_05/2017_P</t>
  </si>
  <si>
    <t>REMOÇÃO DE FORROS DE DRYWALL, PVC E FIBROMINERAL, DE FORMA MANUAL, SEM REAPROVEITAMENTO. AF_12/2017</t>
  </si>
  <si>
    <t>DEMOLIÇÃO DE DIVISÓRIA TIPO DIVILUX</t>
  </si>
  <si>
    <t>00023/ORSE</t>
  </si>
  <si>
    <t>PORTA PARA DIVISÓRIA, DIM. 820 x 2110 x 35MM, NAVAL OU SIMILAR - REV. 01</t>
  </si>
  <si>
    <t>04066/ORSE</t>
  </si>
  <si>
    <t>DIVISORIA (N3) PAINEL/VIDRO/PAINEL MSO/COMEIA E=35MM - PERFIS SIMPLES ALUMINIO ANOD NAT - COLOCADA</t>
  </si>
  <si>
    <t>BANCADA EM GRANITO CINZA ANDORINHA, E = 2 CM</t>
  </si>
  <si>
    <t>10759/ORSE</t>
  </si>
  <si>
    <t>APLICAÇÃO E LIXAMENTO DE MASSA LÁTEX EM PAREDES, DUAS DEMÃOS. AF_06/2014</t>
  </si>
  <si>
    <t>TERMOMETRIA</t>
  </si>
  <si>
    <t>SALA DE AULA</t>
  </si>
  <si>
    <t>SALA DE EQUIPAMENTOS INCERCIAIS</t>
  </si>
  <si>
    <t>DIVISÓRIAS</t>
  </si>
  <si>
    <t>01912/ORSE</t>
  </si>
  <si>
    <t>LABORATÓRIO DIMENSIONAL</t>
  </si>
  <si>
    <t>ESQUADRIAS</t>
  </si>
  <si>
    <t>CALIBRAÇÃO DE MASSAS</t>
  </si>
  <si>
    <t>HALL</t>
  </si>
  <si>
    <t>1.2</t>
  </si>
  <si>
    <t>ENCARREGADO GERAL DE OBRAS COM ENCARGOS COMPLEMENTARES</t>
  </si>
  <si>
    <t>1.3</t>
  </si>
  <si>
    <t>04740/ORSE</t>
  </si>
  <si>
    <t>ANDAIME METÁLICO FACHADEIRO - LOCAÇÃO MENSAL, MONTAGEM E DESMONTAGEM</t>
  </si>
  <si>
    <t>M2 X MÊS</t>
  </si>
  <si>
    <t>SERVIÇOS FINAIS E DESMOBILIZAÇÃO</t>
  </si>
  <si>
    <t>25.1</t>
  </si>
  <si>
    <t>TRANSPORTE COM CAMINHÃO BASCULANTE DE 6 M3, EM VIA URBANA PAVIMENTADA, M3XKM DMT ATÉ 30 KM (UNIDADE: M3XKM). AF_01/2018</t>
  </si>
  <si>
    <t>M3XKM</t>
  </si>
  <si>
    <t>2450/ORSE</t>
  </si>
  <si>
    <t>LIMPEZA GERAL</t>
  </si>
  <si>
    <r>
      <t>REMOÇÃO DE ESQUADRIA METÁLICA, COM OU SEM REAPROVEITMENTO</t>
    </r>
    <r>
      <rPr>
        <b/>
        <sz val="14"/>
        <rFont val="Arial Narrow"/>
        <family val="2"/>
      </rPr>
      <t xml:space="preserve"> (DUAS JANELAS DE 1,80 X 1,27 M)</t>
    </r>
  </si>
  <si>
    <t>BANCADA</t>
  </si>
  <si>
    <t>19.2</t>
  </si>
  <si>
    <t>26.1</t>
  </si>
  <si>
    <t>27.1</t>
  </si>
  <si>
    <t>28.1</t>
  </si>
  <si>
    <t>29.1</t>
  </si>
  <si>
    <t>Área (m2):</t>
  </si>
  <si>
    <t>Valor Total (R$):</t>
  </si>
  <si>
    <t>Custo p/m2 (R$):</t>
  </si>
  <si>
    <t>CRONOGRAMA FÍSICO-FINANCEIRO</t>
  </si>
  <si>
    <t>SERVIÇOS</t>
  </si>
  <si>
    <t>V. ITEM (R$)</t>
  </si>
  <si>
    <t>%</t>
  </si>
  <si>
    <t>B.D.I.</t>
  </si>
  <si>
    <t xml:space="preserve">V.TOTAL(R$)  </t>
  </si>
  <si>
    <t>30 Dias</t>
  </si>
  <si>
    <t>60 Dias</t>
  </si>
  <si>
    <t>Valor(R$)</t>
  </si>
  <si>
    <t>SUBTOTAL   I   (SERVIÇOS)</t>
  </si>
  <si>
    <t xml:space="preserve">V.TOTAL(R$)      </t>
  </si>
  <si>
    <t>SUBTOTAL   II  (ADM LOCAL)</t>
  </si>
  <si>
    <t>TOTAL GERAL</t>
  </si>
  <si>
    <t>TOTAL ACUMULADO</t>
  </si>
  <si>
    <t>Área (m²):</t>
  </si>
  <si>
    <t>MEMÓRIA DE CALCULO DO BDI</t>
  </si>
  <si>
    <t>REVISÃO:</t>
  </si>
  <si>
    <t>04</t>
  </si>
  <si>
    <t>CLIENTE: UNIVERSIDADE FEDERAL DA BAHIA</t>
  </si>
  <si>
    <t>DATA:</t>
  </si>
  <si>
    <t>MEMÓRIA DE CALCULO DO BDI  DOS SERVIÇOS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</si>
  <si>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</si>
  <si>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</si>
  <si>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</si>
  <si>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</si>
  <si>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</si>
  <si>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</si>
  <si>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</si>
  <si>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</si>
  <si>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</si>
  <si>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</si>
  <si>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</si>
  <si>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</si>
  <si>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</si>
  <si>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</si>
  <si>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</si>
  <si>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</si>
  <si>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</si>
  <si>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</si>
  <si>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</si>
  <si>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</si>
  <si>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</si>
  <si>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</si>
  <si>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</si>
  <si>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</si>
  <si>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</si>
  <si>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</si>
  <si>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</si>
  <si>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</si>
  <si>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</si>
  <si>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</si>
  <si>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</si>
  <si>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</si>
  <si>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</si>
  <si>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</si>
  <si>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</si>
  <si>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</si>
  <si>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a Receita Bruta)</t>
  </si>
  <si>
    <t>Total do Grupo C =</t>
  </si>
  <si>
    <t>VALORES DO BDI PARA CONSTRUÇÃO DE EDIFÍCIOS DE ACORDO COM O ACORDÃO N. 2622/2013 DO TCU</t>
  </si>
  <si>
    <t>Fórmula Para Cálculo do B.D.I</t>
  </si>
  <si>
    <t>BDI =(((1+A4+A1+A2)*(1+A3)*(1+B1))/(1-C))-1</t>
  </si>
  <si>
    <t>1º QUARTIL</t>
  </si>
  <si>
    <t>3º QUARTIL</t>
  </si>
  <si>
    <t>Bonificação Sobre Despesas indiretas (B.D.I) =</t>
  </si>
  <si>
    <t>Planilha Protegida exceto os itens em azul</t>
  </si>
  <si>
    <t>ENCARGOS SOCIAIS SOBRE A MÃO DE OBRA - SINAPI CAIXA ECONÔMICA FEDERAL</t>
  </si>
  <si>
    <t>BAHIA</t>
  </si>
  <si>
    <t>CÓDIGO</t>
  </si>
  <si>
    <t>DESCRIÇÃO</t>
  </si>
  <si>
    <t>COM DESONERAÇÃO</t>
  </si>
  <si>
    <t>SEM DESONERAÇÃO</t>
  </si>
  <si>
    <t>HORISTA          %</t>
  </si>
  <si>
    <t>MENSALISTA       %</t>
  </si>
  <si>
    <t>GRUPO A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</si>
  <si>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</si>
  <si>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</si>
  <si>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</si>
  <si>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</si>
  <si>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</si>
  <si>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</si>
  <si>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</si>
  <si>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</si>
  <si>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</si>
  <si>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</si>
  <si>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</si>
  <si>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</si>
  <si>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</si>
  <si>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</si>
  <si>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</si>
  <si>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</si>
  <si>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</si>
  <si>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</si>
  <si>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</si>
  <si>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</si>
  <si>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</si>
  <si>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</si>
  <si>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</si>
  <si>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</si>
  <si>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DÉCIMO-TERCEIRO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</si>
  <si>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</si>
  <si>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</si>
  <si>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</si>
  <si>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</si>
  <si>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</si>
  <si>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</si>
  <si>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</si>
  <si>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</si>
  <si>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</si>
  <si>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</si>
  <si>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</si>
  <si>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</si>
  <si>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</si>
  <si>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</si>
  <si>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</si>
  <si>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</si>
  <si>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</si>
  <si>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</si>
  <si>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</si>
  <si>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</si>
  <si>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</si>
  <si>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</si>
  <si>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</si>
  <si>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</si>
  <si>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</si>
  <si>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</si>
  <si>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</si>
  <si>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</si>
  <si>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</si>
  <si>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</si>
  <si>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</si>
  <si>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</si>
  <si>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 xml:space="preserve"> </t>
  </si>
  <si>
    <t>ENGENHEIRO CIVIL DE OBRA JUNIOR (MEIO PERÍODO) COM ENCARGOS COMPLEMENTARES</t>
  </si>
  <si>
    <r>
      <t>DIVISORIA (N3) PAINEL/VIDRO/PAINEL MSO/COMEIA E=35MM - PERFIS SIMPLES ALUMINIO ANOD NAT - COLOCADA</t>
    </r>
    <r>
      <rPr>
        <b/>
        <sz val="14"/>
        <rFont val="Arial Narrow"/>
        <family val="2"/>
      </rPr>
      <t>(INSTALADA ENTRE AS SALAS DE QUIPAMENTOS INERCIAIS E O LABORATÓRIO DIMENSIONAL)</t>
    </r>
  </si>
  <si>
    <t>11945/ORSE</t>
  </si>
  <si>
    <t>COLETA E CARGA MANUAIS DE ENTULHO</t>
  </si>
  <si>
    <r>
      <t xml:space="preserve">REVESTIMENTO CERÂMICO PARA PAREDE,  15 X 15 CM, AZULEJO BRANCO, TIPO "A", APLICADO COM ARGAMASSA INDUSTRIALIZADA AC-I, REJUNTADO, EXCLUSIVE EMBOÇO </t>
    </r>
    <r>
      <rPr>
        <b/>
        <sz val="14"/>
        <rFont val="Arial Narrow"/>
        <family val="2"/>
      </rPr>
      <t>(RECOMPOSIÇÃO)</t>
    </r>
  </si>
  <si>
    <r>
      <t xml:space="preserve">DEMOLIÇÃO DE ALVENARIA DE BLOCO FURADO, DE FORMA MANUAL, SEM REAPROVEITAMENTO. AF_12/2017 </t>
    </r>
    <r>
      <rPr>
        <b/>
        <sz val="14"/>
        <rFont val="Arial Narrow"/>
        <family val="2"/>
      </rPr>
      <t>(PARA INSTALAÇÃO DE UMA JANELAS TIPO J3)</t>
    </r>
  </si>
  <si>
    <r>
      <t xml:space="preserve">PEITORIL GRANITO CINZA POLIDO, ESP = 2 CM </t>
    </r>
    <r>
      <rPr>
        <b/>
        <sz val="14"/>
        <rFont val="Arial Narrow"/>
        <family val="2"/>
      </rPr>
      <t>(PARA 1 JANELAS TIPO J3, LARGURA 25CM)</t>
    </r>
  </si>
  <si>
    <r>
      <t xml:space="preserve">VERGA PRÉ-MOLDADA PARA JANELAS COM MAIS DE 1,5 M DE VÃO. AF_03/2016 </t>
    </r>
    <r>
      <rPr>
        <b/>
        <sz val="14"/>
        <rFont val="Arial Narrow"/>
        <family val="2"/>
      </rPr>
      <t>(PARA 1 JANELA TIPO J3, LARGURA 25CM)</t>
    </r>
  </si>
  <si>
    <r>
      <t xml:space="preserve">CONTRAVERGA PRÉ-MOLDADA PARA VÃOS DE MAIS DE 1,5 M DE COMPRIMENTO. AF_ </t>
    </r>
    <r>
      <rPr>
        <b/>
        <sz val="14"/>
        <rFont val="Arial Narrow"/>
        <family val="2"/>
      </rPr>
      <t>(PARA 1 JANELA TIPO J3, LARGURA 25CM)</t>
    </r>
  </si>
  <si>
    <r>
      <t xml:space="preserve">BASCULANTE EM ALUMINIO, COR N/P/B, MOLDURA-VIDRO, TIPO CONVENCIONAL OU PIVOTANTE, EXCLUSIVE VIDRO </t>
    </r>
    <r>
      <rPr>
        <b/>
        <sz val="14"/>
        <rFont val="Arial Narrow"/>
        <family val="2"/>
      </rPr>
      <t>(JANELA TIPO J3, DIMENSÕES 4,00 X 0,60M, TIPO BASCULANTE E COMUM. VER PROJETO)</t>
    </r>
  </si>
  <si>
    <t>01883/ORSE</t>
  </si>
  <si>
    <t>REMOÇÃO DE FORRO DE GESSO, DE FORMA MANUAL, SEM REAPROVEITAMENTO. AF_12/2017</t>
  </si>
  <si>
    <t>REVISÃO DE PONTO DE ÁGUA TIPO 1</t>
  </si>
  <si>
    <t>01204/ORSE</t>
  </si>
  <si>
    <t>REVISÃO DE PONTO DE ESGOTO TIPO 1</t>
  </si>
  <si>
    <t>01680/ORSE</t>
  </si>
  <si>
    <t>FECHADURA DE EMBUTIR PARA PORTAS INTERNAS, COMPLETA, ACABAMENTO PADRÃO POPULAR, COM EXECUÇÃO DE FURO - FORNECIMENTO E INSTALAÇÃO. AF_12/2019</t>
  </si>
  <si>
    <t>INSTALAÇÕES ELÉTRICAS</t>
  </si>
  <si>
    <t>02311/ORSE</t>
  </si>
  <si>
    <t>RECUPERAÇÃO GRADE DE FERRO</t>
  </si>
  <si>
    <t>REVISÃO DE ESQUADRIA DE FERRO</t>
  </si>
  <si>
    <t>01859/ORSE</t>
  </si>
  <si>
    <t>00151/ORSE</t>
  </si>
  <si>
    <r>
      <t xml:space="preserve">ALVENARIA BLOCO CERÂMICO VEDAÇÃO, 9X19X24CM, E=9CM, COM ARGAMASSA T5 - 1:2:8 (CIMENTO/CALl/AREIA), JUNTA=1CM - REV.09 </t>
    </r>
    <r>
      <rPr>
        <b/>
        <sz val="14"/>
        <rFont val="Arial Narrow"/>
        <family val="2"/>
      </rPr>
      <t>(LOCAL ONDE FORAM RETIRA AS ESQUADRIAS)</t>
    </r>
  </si>
  <si>
    <r>
      <t>EMBOÇO OU MASSA ÚNICA EM ARGAMASSA TRAÇO 1:2:8, PREPARO MANUAL, APLICA DA MANUALMENTE EM PANOS CEGOS DE FACHADA (SEM PRESENÇA DE VÃOS), ESPESSURA DE 25 MM. AF_06/2014</t>
    </r>
    <r>
      <rPr>
        <b/>
        <sz val="14"/>
        <rFont val="Arial Narrow"/>
        <family val="2"/>
      </rPr>
      <t xml:space="preserve"> (APLICAÇÃO EXTERNA - LOCAL DE INSTALAÇÃO DA VERGA E CONTRAVERGA E LOCAL ONDE SE ENCONTRAVAM AS ESQUADRIAS)</t>
    </r>
  </si>
  <si>
    <r>
      <t xml:space="preserve">EMBOÇO, PARA RECEBIMENTO DE CERÂMICA, EM ARGAMASSA TRAÇO 1:2:8, PREPARO MANUAL, APLICADO MANUALMENTE EM FACES INTERNAS DE PAREDES, PARA AMBIENTE COM ÁREA MAIOR QUE 10M2, ESPESSURA DE 20MM, COM EXECUÇÃO DE TALISCAS. AF_06/2014  </t>
    </r>
    <r>
      <rPr>
        <b/>
        <sz val="14"/>
        <rFont val="Arial Narrow"/>
        <family val="2"/>
      </rPr>
      <t>(APLICAÇÃO INTERNA - LOCAL DE INSTALAÇÃO DA VERGA E CONTRAVERGA E LOCAL ONDE SE ENCONTRAVAM AS ESQUADRIAS)</t>
    </r>
  </si>
  <si>
    <t>WC / COPA</t>
  </si>
  <si>
    <r>
      <t>PINTURA TINTA DE ACABAMENTO (PIGMENTADA) ESMALTE SINTÉTICO FOSCO EM MADEIRA, 2 DEMÃOS. AF_01/2021</t>
    </r>
    <r>
      <rPr>
        <b/>
        <sz val="14"/>
        <rFont val="Arial Narrow"/>
        <family val="2"/>
      </rPr>
      <t xml:space="preserve"> (PINTURA DAS PORTAS - COR AZUL)</t>
    </r>
  </si>
  <si>
    <r>
      <t xml:space="preserve">VIDRO FANTASIA CANELADO 4MM </t>
    </r>
    <r>
      <rPr>
        <b/>
        <sz val="14"/>
        <rFont val="Arial Narrow"/>
        <family val="2"/>
      </rPr>
      <t>(UTILIZAR VIDRO FANTASIA TIPO MINI BOREAL. ITEM PARA ASSENTAR NA JANELAS TIPO J3)</t>
    </r>
  </si>
  <si>
    <r>
      <t>REVESTIMENTO CERÂMICO PARA PAREDE,  15 X 15 CM, AZULEJO BRANCO, TIPO "A", APLICADO COM ARGAMASSA INDUSTRIALIZADA AC-I, REJUNTADO, EXCLUSIVE EMBOÇO</t>
    </r>
    <r>
      <rPr>
        <b/>
        <sz val="14"/>
        <rFont val="Arial Narrow"/>
        <family val="2"/>
      </rPr>
      <t xml:space="preserve"> (ASSENTAMENTO NO LOCAL ONDE FORAM RETIRADAS AS JANELAS E TAMBÉM ONDE FORRAM ASSENTADAS A VERGA E A CONTRAVERGA)</t>
    </r>
  </si>
  <si>
    <t>SUPERINTENDENCIA DE MEIO AMBIÊNTE E INFRAESTRUTURA</t>
  </si>
  <si>
    <t>ATUALIZAÇÃO:</t>
  </si>
  <si>
    <t>COMPOSIÇÕES</t>
  </si>
  <si>
    <t>COMPOSIÇÃO 01</t>
  </si>
  <si>
    <t>QUANT.</t>
  </si>
  <si>
    <t>P.UNIT</t>
  </si>
  <si>
    <t>P.TOTAL</t>
  </si>
  <si>
    <t>H</t>
  </si>
  <si>
    <t>total</t>
  </si>
  <si>
    <t>CARPINTEIRO DE ESQUADRIA COM ENCARGOS COMPLEMENTARES</t>
  </si>
  <si>
    <t>SERVENTE COM ENCARGOS COMPLEMENTARES</t>
  </si>
  <si>
    <t>R$/m²</t>
  </si>
  <si>
    <t>REFORMA DO LABMETRO</t>
  </si>
  <si>
    <t>USIMEC</t>
  </si>
  <si>
    <r>
      <t xml:space="preserve">DEMOLIÇÃO DE ALVENARIA DE BLOCO FURADO, DE FORMA MANUAL, SEM REAPROVEITAMENTO. AF_12/2017 </t>
    </r>
    <r>
      <rPr>
        <b/>
        <sz val="14"/>
        <rFont val="Arial Narrow"/>
        <family val="2"/>
      </rPr>
      <t>(DIMENSÕES 2,80 X 2,45 X 0,15M PARA INSTALAÇÃO DE NOVO PORTÃO)</t>
    </r>
  </si>
  <si>
    <r>
      <t xml:space="preserve">DEMOLIÇÃO DE ALVENARIA DE BLOCO FURADO, DE FORMA MANUAL, SEM REAPROVEITAMENTO. AF_12/2017 </t>
    </r>
    <r>
      <rPr>
        <b/>
        <sz val="14"/>
        <rFont val="Arial Narrow"/>
        <family val="2"/>
      </rPr>
      <t>(PARA ASSENTAMENTO DAS JANELAS J1 (3,20 X 0,60M) E J2 (2,40 X 0,60M)</t>
    </r>
  </si>
  <si>
    <t>00013/ORSE</t>
  </si>
  <si>
    <r>
      <t>DEMOLIÇÃO DE CONCRETO MANUALMENTE</t>
    </r>
    <r>
      <rPr>
        <b/>
        <sz val="14"/>
        <rFont val="Arial Narrow"/>
        <family val="2"/>
      </rPr>
      <t xml:space="preserve"> (BASES DE CONCRETO E3, E6, E10, E12 E E15) </t>
    </r>
  </si>
  <si>
    <r>
      <rPr>
        <sz val="14"/>
        <rFont val="Arial Narrow"/>
        <family val="2"/>
      </rPr>
      <t xml:space="preserve">MASSA ÚNICA, PARA RECEBIMENTO DE PINTURA, EM ARGAMASSA TRAÇO 1:2:8, PREPARO MANUAL, APLICADA MANUALMENTE EM FACES INTERNAS DE PAREDES, ESPESSURA DE 10MM, COM EXECUÇÃO DE TALISCAS. AF_06/2014 </t>
    </r>
    <r>
      <rPr>
        <b/>
        <sz val="14"/>
        <rFont val="Arial Narrow"/>
        <family val="2"/>
      </rPr>
      <t>(MASSA ÚNICA PARA ARESTAMENTO DOS VÃOS DO PORTÃO E DAS JANELAS J1 E J2)</t>
    </r>
  </si>
  <si>
    <r>
      <t xml:space="preserve">PEITORIL GRANITO CINZA POLIDO, ESP = 2 CM </t>
    </r>
    <r>
      <rPr>
        <b/>
        <sz val="14"/>
        <rFont val="Arial Narrow"/>
        <family val="2"/>
      </rPr>
      <t>(PARA JANELAS J1 E J2, LARGURA 25CM)</t>
    </r>
  </si>
  <si>
    <t>VERGA PRÉ-MOLDADA PARA JANELAS COM MAIS DE 1,5 M DE VÃO. AF_03/2016</t>
  </si>
  <si>
    <t>CONTRAVERGA PRÉ-MOLDADA PARA VÃOS DE MAIS DE 1,5 M DE COMPRIMENTO. AF_</t>
  </si>
  <si>
    <t>CONCRETO E PAVIMENTAÇÃO</t>
  </si>
  <si>
    <r>
      <t xml:space="preserve">CONCRETO FCK = 15MPA, TRAÇO 1:3,4:3,5 (CIMENTO/ AREIA MÉDIA/ BRITA 1) - PREPARO MANUAL. AF_07/2016 </t>
    </r>
    <r>
      <rPr>
        <b/>
        <sz val="14"/>
        <rFont val="Arial Narrow"/>
        <family val="2"/>
      </rPr>
      <t>(CONSTRUÇÃO DE BASES PARA EQUIPAMENTOS  E3, E6, E10, E12 E E15)</t>
    </r>
  </si>
  <si>
    <r>
      <t xml:space="preserve">CONCRETO FCK = 15MPA, TRAÇO 1:3,4:3,5 (CIMENTO/ AREIA MÉDIA/ BRITA 1) - PREPARO MANUAL. AF_07/2016 </t>
    </r>
    <r>
      <rPr>
        <b/>
        <sz val="14"/>
        <rFont val="Arial Narrow"/>
        <family val="2"/>
      </rPr>
      <t>(CONSTRUÇÃO DA RAMPA DE ACESSO)</t>
    </r>
  </si>
  <si>
    <t>LOUÇAS E METAIS SANITÁRIOS</t>
  </si>
  <si>
    <t>02097/ORSE</t>
  </si>
  <si>
    <t>PIA DE COZINHA COM BANCADA DE AÇO INOX, DIM 1,00x0,60M, C/ 01 CUBA, SIFÃO CROMADO, VÁLVULA CROMADA E TORNEIRA CROMADA, CONCRETADA E ASSENTADA. REV.03</t>
  </si>
  <si>
    <t>TORNEIRA CROMADA 1/2 OU 3/4 PARA TANQUE, PADRÃO POPULAR - FORNECIMENTO E INSTALAÇÃO. AF_01/2020</t>
  </si>
  <si>
    <t>04440/ORSE</t>
  </si>
  <si>
    <t>PONTO DE CONSUMO TERMINAL DE ÁGUA FRIA (SUBRAMAL) COM TUBULAÇÃO DE PVC, DN 25 MM, INSTALADO EM RAMAL DE ÁGUA, INCLUSOS RASGO E CHUMBAMENTO EM ALVENARIA. AF_12/2014</t>
  </si>
  <si>
    <t>01678/ORSE</t>
  </si>
  <si>
    <t>PONTO DE ESGOTO COM TUBO DE PVC RÍGIDO SOLDÁVEL DE Ø 50 MM (PIAS DE COZINHA, MÁQUINAS DE LAVAR E ETC...)</t>
  </si>
  <si>
    <r>
      <t xml:space="preserve">FORNECIMENTO E INSTALAÇÃO DE PORTÃO DE CORRER, EM CHAPA GALVANIZADA PLANA, COM ACABAMENTO EM PINTURA ESMALTE COR AZUL FRANÇA </t>
    </r>
    <r>
      <rPr>
        <b/>
        <sz val="14"/>
        <rFont val="Arial Narrow"/>
        <family val="2"/>
      </rPr>
      <t>(2,80 X 2,45M)</t>
    </r>
  </si>
  <si>
    <r>
      <t xml:space="preserve">JANELA DE ALUMÍNIO TIPO MAXIM-AR, COM VIDROS, BATENTE E FERRAGENS. EXCLUSIVE ALIZAR, ACABAMENTO E CONTRAMARCO. FORNECIMENTO E INSTALAÇÃO. AF_12/2019 </t>
    </r>
    <r>
      <rPr>
        <b/>
        <sz val="14"/>
        <rFont val="Arial Narrow"/>
        <family val="2"/>
      </rPr>
      <t>(JANELA J1, DIMENSÕES 3,20 X 0,60M, TIPO BASCULANTE)</t>
    </r>
  </si>
  <si>
    <r>
      <t xml:space="preserve">JANELA DE ALUMÍNIO TIPO MAXIM-AR, COM VIDROS, BATENTE E FERRAGENS. EXCLUSIVE ALIZAR, ACABAMENTO E CONTRAMARCO. FORNECIMENTO E INSTALAÇÃO. AF_12/2019 </t>
    </r>
    <r>
      <rPr>
        <b/>
        <sz val="14"/>
        <rFont val="Arial Narrow"/>
        <family val="2"/>
      </rPr>
      <t>(JANELA J2, DIMENSÕES 2,40 X 0,60M, TIPO BASCULANTE)</t>
    </r>
  </si>
  <si>
    <t>11984/ORSE</t>
  </si>
  <si>
    <t>CORRIMÃO EM TUBO DE FERRO GALVANIZADO, BARRAS SUPERIORES ALT=0,92M E 0,70M E BARRAS INFERIORES H=0,23M E 0,10M, CURVAS DE AÇO CARBONO, INCLUSIVE AS VERTICAIS DE APOIO COM DIAM= 1.1/2"</t>
  </si>
  <si>
    <r>
      <t xml:space="preserve">INSTALAÇÃO DE VIDRO LISO INCOLOR, E = 3 MM, EM ESQUADRIA DE ALUMÍNIO OU PVC, FIXADO COM BAGUETE. AF_01/2021_P </t>
    </r>
    <r>
      <rPr>
        <b/>
        <sz val="14"/>
        <rFont val="Arial Narrow"/>
        <family val="2"/>
      </rPr>
      <t>(SUBSTITUIR VIDRO DA JANELA J3)</t>
    </r>
  </si>
  <si>
    <r>
      <t>APLICAÇÃO MANUAL DE PINTURA COM TINTA LÁTEX ACRÍLICA EM TETO, DUAS DEMÃOS. AF_06/2014</t>
    </r>
    <r>
      <rPr>
        <b/>
        <sz val="14"/>
        <rFont val="Arial Narrow"/>
        <family val="2"/>
      </rPr>
      <t xml:space="preserve"> </t>
    </r>
  </si>
  <si>
    <r>
      <t xml:space="preserve">APLICAÇÃO E LIXAMENTO DE MASSA LÁTEX EM PAREDES, UMA DEMÃO. AF_06/2014 </t>
    </r>
    <r>
      <rPr>
        <b/>
        <sz val="14"/>
        <rFont val="Arial Narrow"/>
        <family val="2"/>
      </rPr>
      <t>(PERÍMETRO = 51,61, ALTURA = 3,77. SUBTRAIR J1, J2, J3, P1, P3 E C1)</t>
    </r>
  </si>
  <si>
    <t>ABRIGO DO COMPRESSOR</t>
  </si>
  <si>
    <t>DEMOLIÇÃO (ABRIGO)</t>
  </si>
  <si>
    <r>
      <t>DEMOLIÇÃO DE ALVENARIA DE BLOCO FURADO, DE FORMA MANUAL, SEM REAPROVEITAMENTO. AF_12/2017</t>
    </r>
    <r>
      <rPr>
        <b/>
        <sz val="14"/>
        <rFont val="Arial Narrow"/>
        <family val="2"/>
      </rPr>
      <t xml:space="preserve"> (DIMENSÕES 1,80 X 1,50M DO VÃO PARA INSTALAÇÃO DE PORTÃO)</t>
    </r>
  </si>
  <si>
    <t>ALVENARIA (ABRIGO)</t>
  </si>
  <si>
    <r>
      <rPr>
        <sz val="14"/>
        <rFont val="Arial Narrow"/>
        <family val="2"/>
      </rPr>
      <t xml:space="preserve">ALVENARIA DE VEDAÇÃO DE BLOCOS CERÂMICOS FURADOS NA VERTICAL DE 9X19X3 9CM (ESPESSURA 9CM) DE PAREDES COM ÁREA LÍQUIDA MAIOR OU IGUAL A 6M² COM VÃOS E ARGAMASSA DE ASSENTAMENTO COM PREPARO EM BETONEIRA. AF_06/2014 </t>
    </r>
    <r>
      <rPr>
        <b/>
        <sz val="14"/>
        <rFont val="Arial Narrow"/>
        <family val="2"/>
      </rPr>
      <t xml:space="preserve">(PERÍMETRO = 4,15M X ALTURA = 3,77M) </t>
    </r>
  </si>
  <si>
    <t>REVESTIMENTO (ABRIGO)</t>
  </si>
  <si>
    <r>
      <t xml:space="preserve">MASSA ÚNICA, PARA RECEBIMENTO DE PINTURA, EM ARGAMASSA TRAÇO 1:2:8, PREPARO MANUAL, APLICADA MANUALMENTE EM FACES INTERNAS DE PAREDES, ESPESSURA DE 20MM, COM EXECUÇÃO DE TALISCAS. AF_06/2014 </t>
    </r>
    <r>
      <rPr>
        <b/>
        <sz val="14"/>
        <rFont val="Arial Narrow"/>
        <family val="2"/>
      </rPr>
      <t>(PARA LADOS DA NOVA PAREDE)</t>
    </r>
  </si>
  <si>
    <r>
      <rPr>
        <sz val="14"/>
        <rFont val="Arial Narrow"/>
        <family val="2"/>
      </rPr>
      <t xml:space="preserve">MASSA ÚNICA, PARA RECEBIMENTO DE PINTURA, EM ARGAMASSA TRAÇO 1:2:8, PREPARO MANUAL, APLICADA MANUALMENTE EM FACES INTERNAS DE PAREDES, ESPESSURA DE 10MM, COM EXECUÇÃO DE TALISCAS. AF_06/2014 </t>
    </r>
    <r>
      <rPr>
        <b/>
        <sz val="14"/>
        <rFont val="Arial Narrow"/>
        <family val="2"/>
      </rPr>
      <t>(MASSA ÚNICA PARA ARESTAMENTO DA PORTA)</t>
    </r>
  </si>
  <si>
    <r>
      <t>APLICAÇÃO DE FUNDO SELADOR ACRÍLICO EM PAREDES, UMA DEMÃO. AF_06/2014</t>
    </r>
    <r>
      <rPr>
        <b/>
        <sz val="14"/>
        <rFont val="Arial Narrow"/>
        <family val="2"/>
      </rPr>
      <t xml:space="preserve"> (APLICAÇÃO NA PAREDE NOVA)</t>
    </r>
  </si>
  <si>
    <r>
      <t xml:space="preserve">APLICAÇÃO E LIXAMENTO DE MASSA LÁTEX EM PAREDES, DUAS DEMÃOS. AF_06/2014 </t>
    </r>
    <r>
      <rPr>
        <b/>
        <sz val="14"/>
        <rFont val="Arial Narrow"/>
        <family val="2"/>
      </rPr>
      <t>(APLICAÇÃO NA PAREDE NOVA)</t>
    </r>
  </si>
  <si>
    <r>
      <t>APLICAÇÃO MANUAL DE PINTURA COM TINTA LÁTEX ACRÍLICA EM PAREDES, DUAS DEMÃOS. AF_06/2014</t>
    </r>
    <r>
      <rPr>
        <b/>
        <sz val="14"/>
        <rFont val="Arial Narrow"/>
        <family val="2"/>
      </rPr>
      <t xml:space="preserve"> (APLICAÇÃO NA PAREDE NOVA)</t>
    </r>
  </si>
  <si>
    <r>
      <t>APLICAÇÃO E LIXAMENTO DE MASSA LÁTEX EM PAREDES, UMA DEMÃO. AF_06/2014</t>
    </r>
    <r>
      <rPr>
        <b/>
        <sz val="14"/>
        <rFont val="Arial Narrow"/>
        <family val="2"/>
      </rPr>
      <t xml:space="preserve"> (PAREDE EXISTENTE)</t>
    </r>
  </si>
  <si>
    <r>
      <t>APLICAÇÃO MANUAL DE PINTURA COM TINTA LÁTEX ACRÍLICA EM PAREDES, DUAS DEMÃOS. AF_06/2014</t>
    </r>
    <r>
      <rPr>
        <b/>
        <sz val="14"/>
        <rFont val="Arial Narrow"/>
        <family val="2"/>
      </rPr>
      <t xml:space="preserve"> (PAREDE EXISTENTE)</t>
    </r>
  </si>
  <si>
    <t xml:space="preserve">APLICAÇÃO MANUAL DE PINTURA COM TINTA LÁTEX ACRÍLICA EM TETO, DUAS DEMÃOS. AF_06/2014 </t>
  </si>
  <si>
    <t>04888/ORSE</t>
  </si>
  <si>
    <t>PISO CIMENTADO LISO TRAÇO 1:5, E = 1,5 CM</t>
  </si>
  <si>
    <t>ESQUADRIA (ABRIGO)</t>
  </si>
  <si>
    <t>09290/ORSE</t>
  </si>
  <si>
    <t>PORTÃO DE FERRO DE ABRIR, QUADRO EM TUBO DE AÇO GALVANIZADO 1.1/2, BARRA QUADRADA 1/2" NA VERTICAL E BARRA CHATA DE 1 X 3/16" NA HORIZONTAL, INCLUSIVE DOBRADIÇAS E FERROLHO</t>
  </si>
  <si>
    <t>W.C</t>
  </si>
  <si>
    <t>PINTURA (W.C.)</t>
  </si>
  <si>
    <r>
      <t>APLICAÇÃO MANUAL DE PINTURA COM TINTA LÁTEX ACRÍLICA EM TETO, DUAS DEMÃOS. AF_06/2014</t>
    </r>
    <r>
      <rPr>
        <b/>
        <sz val="14"/>
        <rFont val="Arial Narrow"/>
        <family val="2"/>
      </rPr>
      <t xml:space="preserve"> (LOCAL DE APLICAÇÃO: WC)</t>
    </r>
  </si>
  <si>
    <t>ACESSÓRIOS SANITÁRIOS (W.C.)</t>
  </si>
  <si>
    <t>12208/ORSE</t>
  </si>
  <si>
    <t>PORTA PAPEL TOALHA PARA PAPEL INTERFOLHA 2 OU 3 DOBRAS, INJETADO COM A FRENTE EM PLÁSTICO ABS BRANCO, COM VISOR FRONTAL PARA CONTROLE DE SUBSTITUIÇÃO DO PAPEL INTERFOLHA E FUNDO EM PLÁSTICO ABS CINZA</t>
  </si>
  <si>
    <t>12511/ORSE</t>
  </si>
  <si>
    <t>DISPENSER, EM PLÁSTICO, PARA PAPEL HIGIÊNICO EM ROLO</t>
  </si>
  <si>
    <t>LABORATÓRIO DE HIDRÁULICA E PNEUMÁTICA</t>
  </si>
  <si>
    <t>ALVENARIA (LAB)</t>
  </si>
  <si>
    <t>10565/ORSE</t>
  </si>
  <si>
    <t>PAREDE DE BLOCO DE GESSO (50 x 65CM) - FORNECIMENTO E EXECUÇÃO</t>
  </si>
  <si>
    <t>FORRO (LAB)</t>
  </si>
  <si>
    <t xml:space="preserve">FORRO EM PLACAS DE GESSO, PARA AMBIENTES COMERCIAIS. AF_05/2017_P </t>
  </si>
  <si>
    <t>PINTURA (LAB)</t>
  </si>
  <si>
    <r>
      <t>APLICAÇÃO MANUAL DE PINTURA COM TINTA LÁTEX ACRÍLICA EM TETO, DUAS DEMÃOS. AF_06/2014</t>
    </r>
    <r>
      <rPr>
        <b/>
        <sz val="14"/>
        <rFont val="Arial Narrow"/>
        <family val="2"/>
      </rPr>
      <t xml:space="preserve"> (PINTURA EM FORRO)</t>
    </r>
  </si>
  <si>
    <t>APLICAÇÃO E LIXAMENTO DE MASSA LÁTEX EM PAREDES, UMA DEMÃO. AF_06/2014</t>
  </si>
  <si>
    <t>ALMOXARIFADO E FERRAMENTAS</t>
  </si>
  <si>
    <t>PINTURA (ALMOX.)</t>
  </si>
  <si>
    <t>00026/ORSE</t>
  </si>
  <si>
    <t>FORNECIMENTO E INSTALAÇÃO DE PORTÃO DE CORRER, EM CHAPA GALVANIZADA PLANA, COM ACABAMENTO EM PINTURA ESMALTE COR AZUL FRANÇA</t>
  </si>
  <si>
    <t>COTAÇÃO (METALURGICA RAINAN)</t>
  </si>
  <si>
    <t>PORTÃO DE CORRER, EM CHAPA GALVANIZADA PLANA, COM ACABAMENTO EM PINTURA ESMALTE COR AZUL FRANÇA, DIMENSÕES 2,80 X 2,45</t>
  </si>
  <si>
    <t>PEDREIRO COM ENCARGOS COMPLEMENTARES</t>
  </si>
  <si>
    <t>SERRALHEIRO COM ENCARGOS COMPLEMENTARES</t>
  </si>
  <si>
    <t>COMPOSIÇÃO 02</t>
  </si>
  <si>
    <t>REFORMA DO USIMEC</t>
  </si>
  <si>
    <t>31.1</t>
  </si>
  <si>
    <t>32.1</t>
  </si>
  <si>
    <t>33.1</t>
  </si>
  <si>
    <t>33.2</t>
  </si>
  <si>
    <t>34.1</t>
  </si>
  <si>
    <t>35.1</t>
  </si>
  <si>
    <t>36.1</t>
  </si>
  <si>
    <t>37.1</t>
  </si>
  <si>
    <t>38.1</t>
  </si>
  <si>
    <t>39.1</t>
  </si>
  <si>
    <t>40.1</t>
  </si>
  <si>
    <t>41.1</t>
  </si>
  <si>
    <t>42.1</t>
  </si>
  <si>
    <t>43.1</t>
  </si>
  <si>
    <t>44.1</t>
  </si>
  <si>
    <t>45.1</t>
  </si>
  <si>
    <t>46.1</t>
  </si>
  <si>
    <t>47.1</t>
  </si>
  <si>
    <t>48.1</t>
  </si>
  <si>
    <t>WC/COPA</t>
  </si>
  <si>
    <t>TERMO</t>
  </si>
  <si>
    <t>INST. HIDROSSANITÁRIAS</t>
  </si>
  <si>
    <t>ESQUADRIAS E DIVISÓRIAS</t>
  </si>
  <si>
    <t>REVESTIMENTO</t>
  </si>
  <si>
    <t>BANCADAS</t>
  </si>
  <si>
    <t>INST. ELÉTRICAS</t>
  </si>
  <si>
    <t>S. AULA</t>
  </si>
  <si>
    <t>ALVENARIA</t>
  </si>
  <si>
    <t>REVESTIMENTOS</t>
  </si>
  <si>
    <t>S. EQUIP</t>
  </si>
  <si>
    <t>LAB. DIM</t>
  </si>
  <si>
    <t>CALIBR.</t>
  </si>
  <si>
    <t>A. ACESSO</t>
  </si>
  <si>
    <t>RECUPERAÇÃO GRADE FERRO</t>
  </si>
  <si>
    <t>USEMEC</t>
  </si>
  <si>
    <t>A. COMP.</t>
  </si>
  <si>
    <t>W.C.</t>
  </si>
  <si>
    <t>LAB. HID</t>
  </si>
  <si>
    <t>ALMOX.</t>
  </si>
  <si>
    <t>ADMINISTRAÇÃO</t>
  </si>
  <si>
    <t>PARA ALVENARIA</t>
  </si>
  <si>
    <t>SUB TOTAL</t>
  </si>
  <si>
    <t>LABMETRO</t>
  </si>
  <si>
    <t>BDI DE 25%</t>
  </si>
  <si>
    <t>REFORMA DO LABMETRO E USIMEC - ESCOLA POLITÉCNICA - UFBA</t>
  </si>
  <si>
    <t>16.2</t>
  </si>
  <si>
    <t>20.2</t>
  </si>
  <si>
    <t>29.2</t>
  </si>
  <si>
    <t>49.1</t>
  </si>
  <si>
    <t>49.2</t>
  </si>
  <si>
    <t>49.3</t>
  </si>
  <si>
    <t>50.1</t>
  </si>
  <si>
    <t>50.2</t>
  </si>
  <si>
    <t>50.3</t>
  </si>
  <si>
    <t>51.1</t>
  </si>
  <si>
    <t>51.2</t>
  </si>
  <si>
    <t>51.3</t>
  </si>
  <si>
    <t>1 - ESSA PLANILHA É ESTIMATIVA. BASEADA NOS PROJETOS E ESPECIFICAÇÃO DISPONIBILIZADOS;</t>
  </si>
  <si>
    <r>
      <rPr>
        <sz val="14"/>
        <rFont val="Arial Narrow"/>
        <family val="2"/>
      </rPr>
      <t xml:space="preserve">MASSA ÚNICA, PARA RECEBIMENTO DE PINTURA, EM ARGAMASSA TRAÇO 1:2:8, PREPARO MANUAL, APLICADA MANUALMENTE EM FACES INTERNAS DE PAREDES, ESPESSURA DE 10MM, COM EXECUÇÃO DE TALISCAS. AF_06/2014 </t>
    </r>
    <r>
      <rPr>
        <b/>
        <sz val="14"/>
        <rFont val="Arial Narrow"/>
        <family val="2"/>
      </rPr>
      <t>(MASSA ÚNICA PARA RECOMPOSIÇÃO DE PAREDE PROXIMO AO COBOGÓ)</t>
    </r>
  </si>
  <si>
    <r>
      <t xml:space="preserve">REVESTIMENTO CERÂMICO PARA PISO COM PLACAS TIPO ESMALTADA EXTRA DE DIMENSÕES 45X45 CM APLICADA EM AMBIENTES DE ÁREA ENTRE 5 M2 E 10 M2. AF_06/2014 </t>
    </r>
    <r>
      <rPr>
        <b/>
        <sz val="14"/>
        <rFont val="Arial Narrow"/>
        <family val="2"/>
      </rPr>
      <t>(UTILIZAR CERÂMICA 41X41CM. ÁREA DE RECOMPOSIÇÃO DAS BASES DE CONCRETO)</t>
    </r>
  </si>
  <si>
    <r>
      <t xml:space="preserve">REVESTIMENTO CERÂMICO PARA PISO COM PLACAS TIPO ESMALTADA EXTRA DE DIMENSÕES 45X45 CM APLICADA EM AMBIENTES DE ÁREA ENTRE 5 M2 E 10 M2. AF_06/2014 </t>
    </r>
    <r>
      <rPr>
        <b/>
        <sz val="14"/>
        <rFont val="Arial Narrow"/>
        <family val="2"/>
      </rPr>
      <t>(UTILIZAR CERÂMICA 41X41CM. RECOMPOR ÁREA ONDE SERÁ INSTALADO O SISTEMA DE ESGOTO)</t>
    </r>
  </si>
  <si>
    <t>ELETRODUTO RÍGIDO SOLDÁVEL, PVC, DN 25 MM (3/4), APARENTE, INSTALADO EM PAREDE - FORNECIMENTO E INSTALAÇÃO. AF_11/2016_P</t>
  </si>
  <si>
    <t>REMOÇÃO E REINSTALAÇÃO DE LUMINÁRIAS 1x32W, 2x32W, 3x32W ou 4x32W</t>
  </si>
  <si>
    <t>04988/ORSE</t>
  </si>
  <si>
    <t>REMOÇÃO DE CABOS ELÉTRICOS, DE FORMA MANUAL, SEM REAPROVEITAMENTO. AF_12/2017</t>
  </si>
  <si>
    <t>SAGUÃO / HALL DE ACESSO A TERMOMETRIA</t>
  </si>
  <si>
    <t>REMOÇÃO DE LUMINÁRIAS, DE FORMA MANUAL, SEM REAPROVEITAMENTO. AF_12/2017</t>
  </si>
  <si>
    <t>LUMINÁRIA DE EMBUTIR COM ALETAS, PARA LÂMPADAS FLUORESCENTES, 2 x 32W, REF. TBS020232CI00, DA PHILIPS, COMPLETA</t>
  </si>
  <si>
    <t>07327/ORSE</t>
  </si>
  <si>
    <t>01849/ORSE</t>
  </si>
  <si>
    <t>GRADE DE PROTEÇÃO C/BARRA QUADRADA FERRO 5/8"</t>
  </si>
  <si>
    <r>
      <t>DEMOLIÇÃO DE CONCRETO MANUALMENTE</t>
    </r>
    <r>
      <rPr>
        <b/>
        <sz val="14"/>
        <rFont val="Arial Narrow"/>
        <family val="2"/>
      </rPr>
      <t xml:space="preserve"> (DEMOLIÇÃO PARA INSTALAÇÃO DE TUBULAÇÃO DE ESGOTO) </t>
    </r>
  </si>
  <si>
    <t>COTAÇÃO</t>
  </si>
  <si>
    <t>INSUMO</t>
  </si>
  <si>
    <t>CONDULETE 5 ENTRADAS UNIVERSAL TIGRE</t>
  </si>
  <si>
    <t>BUCHA NYLON S-6 C/ PARAFUSO ACO ZINC CAB CHATA ROSCA SOBERBA 4,2 X 45MM</t>
  </si>
  <si>
    <t>www.lojaeletrica.com.br</t>
  </si>
  <si>
    <t>ADAPTADOR CONDULETE TOP TIGRE OU SIMILAR</t>
  </si>
  <si>
    <t>TAMPA CONDULETE TOP DUPLA TIGRE OU SIMILAR</t>
  </si>
  <si>
    <t>COMPOSICAO</t>
  </si>
  <si>
    <t>AUXILIAR DE ELETRICISTA COM ENCARGOS COMPLEMENTARES</t>
  </si>
  <si>
    <t>ELETRICISTA COM ENCARGOS COMPLEMENTARES</t>
  </si>
  <si>
    <t>INSTALAÇÕES REDE LOGICA</t>
  </si>
  <si>
    <t>00794/ORSE</t>
  </si>
  <si>
    <r>
      <t>TOMADA PARA LÓGICA, RJ45, COM CAIXA DE SOBREPOR, APARENTE</t>
    </r>
    <r>
      <rPr>
        <b/>
        <sz val="14"/>
        <rFont val="Arial Narrow"/>
        <family val="2"/>
      </rPr>
      <t xml:space="preserve"> (PARA SUBSTITUIR EXISTENTE)</t>
    </r>
  </si>
  <si>
    <t>02306/ORSE</t>
  </si>
  <si>
    <r>
      <t xml:space="preserve">PINTURA DE ACABAMENTO COM APLICAÇÃO DE 02 DEMÃOS DE ESMALTE SINTÉTICO SOBRE SUPERFICIE METÁLICA - R1 </t>
    </r>
    <r>
      <rPr>
        <b/>
        <sz val="14"/>
        <rFont val="Arial Narrow"/>
        <family val="2"/>
      </rPr>
      <t>(PARA PINTURA NA GRADE DA JANELA)</t>
    </r>
  </si>
  <si>
    <t>02304/ORSE</t>
  </si>
  <si>
    <r>
      <t xml:space="preserve">PINTURA DE PORTEÇÃO SOBRE SUPERFICIES METALICAS COM APLICAÇÃO DE 01 DEMÃO DE TINTA ANTI-COROSIVA ZARCÃO - R2 </t>
    </r>
    <r>
      <rPr>
        <b/>
        <sz val="14"/>
        <rFont val="Arial Narrow"/>
        <family val="2"/>
      </rPr>
      <t>(PARA GRADE DA JANELA)</t>
    </r>
  </si>
  <si>
    <t>OUTROS</t>
  </si>
  <si>
    <t>OUTROS SERVIÇOS</t>
  </si>
  <si>
    <r>
      <t xml:space="preserve">SERRALHEIRO COM ENCARGOS COMPLEMENTARES </t>
    </r>
    <r>
      <rPr>
        <b/>
        <sz val="14"/>
        <rFont val="Arial Narrow"/>
        <family val="2"/>
      </rPr>
      <t>(RETIRADA DE DUTOS DE AR CONDICIONADO)</t>
    </r>
  </si>
  <si>
    <r>
      <t xml:space="preserve">MONTADOR DE ESTRUTURA METÁLICA COM ENCARGOS COMPLEMENTARES </t>
    </r>
    <r>
      <rPr>
        <b/>
        <sz val="14"/>
        <rFont val="Arial Narrow"/>
        <family val="2"/>
      </rPr>
      <t>(REMOVER A CAPELA)</t>
    </r>
  </si>
  <si>
    <t>RECUPERAÇÃO ESTRUTURAL</t>
  </si>
  <si>
    <t>DEMOLIÇÃO DE PILARES E VIGAS EM CONCRETO ARMADO, DE FORMA MECANIZADA COM MARTELETE, SEM REAPROVEITAMENTO. AF_12/2017</t>
  </si>
  <si>
    <t>IMUNIZAÇÃO DE SUPERFICIE DE MADEIRA COM APLICAÇÃO DE 01 DEMÃO DE JIMO CUPIM INCOLOR OU SIMILAR</t>
  </si>
  <si>
    <t>COMPOSIÇÃO 10</t>
  </si>
  <si>
    <t>03964/ORSE</t>
  </si>
  <si>
    <t xml:space="preserve">SERVENTE COM ENCARGOS COMPLEMENTARES </t>
  </si>
  <si>
    <t>REMOÇÃO DE CASA DE CUPIM</t>
  </si>
  <si>
    <t>UNID</t>
  </si>
  <si>
    <t>TOMADA HEXAGONAL PARA CONDULETE 2P+T - BUILDING</t>
  </si>
  <si>
    <t>www.magalu.com.br</t>
  </si>
  <si>
    <t>RECUPERAÇÃO ESTRUTURAL EM VIGA</t>
  </si>
  <si>
    <t>07307/ORSE</t>
  </si>
  <si>
    <t>CIMBRAMENTO / ESCORAMENTO TUBULAR DESMONTÁVEL PARA PONTE OU VIADUTO, EDIFICAÇÃO CIVIL E INDUSTRIAL, INCLUSAS MONTAGEM E DESMONTAGEM.</t>
  </si>
  <si>
    <t>04776/ORSE</t>
  </si>
  <si>
    <t>RECUPERAÇÃO DE ARMADURA PARA VIGAS 15X40CM, Ø10MM, INCLUSO REMOÇÃO DE ESTRIBO, LIXAMENTO, PINTURA DE PROTEÇÃO E COLOCAÇÃO DE NOVOS ESTRIBOS C/ESPAÇAMEMTO = 17CM (PARA CASOS DE FERRAGENS TOTALMENTE EXPOSTAS)</t>
  </si>
  <si>
    <t>FABRICAÇÃO DE FÔRMA PARA VIGAS, EM CHAPA DE MADEIRA COMPENSADA RESINADA, E = 17 MM. AF_09/2020</t>
  </si>
  <si>
    <t>CONCRETO FCK = 25MPA, TRAÇO 1:2,3:2,7 (EM MASSA SECA DE CIMENTO/ AREIA MÉDIA/ BRITA 1) - PREPARO MECÂNICO COM BETONEIRA 400 L. AF_05/2021</t>
  </si>
  <si>
    <t>LONA PLASTICA PESADA PRETA, E = 150 MICRA</t>
  </si>
  <si>
    <t>INSUMO 3777</t>
  </si>
  <si>
    <r>
      <t xml:space="preserve">PINTURA DE ACABAMENTO COM LIXAMENTO, APLICAÇÃO DE 01 DEMÃO DE TINTA A BASE DE ZARCÃO E 02 DEMÃOS DE TINTA ESMALTE </t>
    </r>
    <r>
      <rPr>
        <b/>
        <sz val="14"/>
        <rFont val="Arial Narrow"/>
        <family val="2"/>
      </rPr>
      <t>(PINTURA DO PORTÃO)</t>
    </r>
  </si>
  <si>
    <t>DEMOLIÇÃO DE REVESTIMENTO CERÂMICO OU AZULEJO</t>
  </si>
  <si>
    <t>00022/ORSE</t>
  </si>
  <si>
    <t>PORTA EM MADEIRA PORTA DE MADEIRA PARA PINTURA, SEMI-OCA (LEVE OU MÉDIA), 80X210CM, ESPESSURA DE 3,5CM, INCLUSO DOBRADIÇAS - FORNECIMENTO E INSTALAÇÃO. AF_12/2019</t>
  </si>
  <si>
    <t>FORNECIMENTO E INSTALAÇÃO DE PORTA COMPLETA E CORTE PARA ADAPTAÇÃO DE LARGURA PORTA DE 0,80 PARA 0,74 M. CONFORME PROJETO DE REFORMA.</t>
  </si>
  <si>
    <r>
      <t xml:space="preserve">GRADE DE PROTEÇÃO C/BARRA QUADRADA FERRO 5/8" </t>
    </r>
    <r>
      <rPr>
        <b/>
        <sz val="14"/>
        <rFont val="Arial Narrow"/>
        <family val="2"/>
      </rPr>
      <t>(CONFECCIONAR IGUAL AO PADRÃO EXISTENTE)</t>
    </r>
  </si>
  <si>
    <t>FORRO DE GESSO ACARTONADO, COR BRANCA, PLACA 1243 X 618MM, OU SIMILAR FORNECIMENTO E INSTALAÇÃO</t>
  </si>
  <si>
    <r>
      <t xml:space="preserve">REMOÇÃO DE ESQUADRIA METÁLICA, COM OU SEM REAPROVEITAMENTO </t>
    </r>
    <r>
      <rPr>
        <b/>
        <sz val="14"/>
        <rFont val="Arial Narrow"/>
        <family val="2"/>
      </rPr>
      <t>(PORTÃO METÁLICO DE CORRER 1,78 X 2,45 M)</t>
    </r>
  </si>
  <si>
    <r>
      <t xml:space="preserve">REVESTIMENTO CERÂMICO PARA PAREDE, 10 x 10 CM, ELIZABETH, LINHA LUX NEVE, APLICADO COM ARGAMASSA INDUSTRIALIZADA AC-II, REJUNTADO, EXCLUSIVE REGULARIZAÇÃO DE BASE OU EMBOÇO - REV 04 </t>
    </r>
    <r>
      <rPr>
        <b/>
        <sz val="14"/>
        <rFont val="Arial Narrow"/>
        <family val="2"/>
      </rPr>
      <t>(DIMENSÕES 1,05 X 0,10 M)</t>
    </r>
  </si>
  <si>
    <t>INSTALAÇÕES ELÉTRICAS (EQUIPAMENTOS)</t>
  </si>
  <si>
    <t>CABO DE COBRE FLEXÍVEL ISOLADO, 10 MM², ANTI-CHAMA 0,6/1,0 KV, PARA DISTRIBUIÇÃO - FORNECIMENTO E INSTALAÇÃO. AF_12/2015</t>
  </si>
  <si>
    <t>CABO DE COBRE FLEXÍVEL ISOLADO, 4 MM², ANTI-CHAMA 0,6/1,0 KV, PARA CIRCUITOS TERMINAIS - FORNECIMENTO E INSTALAÇÃO. AF_12/2015</t>
  </si>
  <si>
    <t>CABO DE COBRE FLEXÍVEL ISOLADO, 2,5 MM², ANTI-CHAMA 0,6/1,0 KV, PARA CIRCUITOS TERMINAIS - FORNECIMENTO E INSTALAÇÃO. AF_12/2015</t>
  </si>
  <si>
    <t>ELETRODUTO RÍGIDO SOLDÁVEL, PVC, DN 32 MM (1), APARENTE, INSTALADO EM PAREDE - FORNECIMENTO E INSTALAÇÃO. AF_11/2016_P</t>
  </si>
  <si>
    <t>TOMADA TIPO CONDULETE DE SOBREPOR COMPLETA</t>
  </si>
  <si>
    <t>02.INEL.ELE4.003/01</t>
  </si>
  <si>
    <t>95728</t>
  </si>
  <si>
    <t>88247</t>
  </si>
  <si>
    <t>88264</t>
  </si>
  <si>
    <t>91170</t>
  </si>
  <si>
    <t>FIXAÇÃO DE TUBOS HORIZONTAIS DE PVC, CPVC OU COBRE DIÂMETROS MENORES OU IGUAIS A 40 MM OU ELETROCALHAS ATÉ 150MM DE LARGURA, COM ABRAÇADEIRA METÁLICA RÍGIDA TIPO D 1/2, FIXADA EM PERFILADO EM LAJE. AF_05/2015</t>
  </si>
  <si>
    <t>ELETRODUTO DE PVC RIGIDO SOLDAVEL, CLASSE B, DE 40 MM</t>
  </si>
  <si>
    <t>ELETRODUTO RÍGIDO SOLDÁVEL, PVC, DN 40 MM (1 1/4), APARENTE, INSTALADO EM TETO - FORNECIMENTO E INSTALAÇÃO. AF_11/2016_P</t>
  </si>
  <si>
    <t>CONDULETE DE PVC, TIPO X, PARA ELETRODUTO DE PVC SOLDÁVEL DN 32 MM (1''), APARENTE - FORNECIMENTO E INSTALAÇÃO. AF_11/2016</t>
  </si>
  <si>
    <t>LUVA PARA ELETRODUTO, PVC, SOLDÁVEL, DN 32 MM (1), APARENTE, INSTALADA EM PAREDE - FORNECIMENTO E INSTALAÇÃO. AF_11/2016_P</t>
  </si>
  <si>
    <t>INTETTUPTOR 01 SEÇÃO, COM CAIXA PVC 4" x 2", APARENTE</t>
  </si>
  <si>
    <t>00773/ORSE</t>
  </si>
  <si>
    <t xml:space="preserve">COMPOSIÇÃO 03  </t>
  </si>
  <si>
    <t>COMPOSIÇÃO 04</t>
  </si>
  <si>
    <t>COMPOSIÇÃO 05</t>
  </si>
  <si>
    <t>COMPOSIÇÃO 06</t>
  </si>
  <si>
    <t>COMPOSIÇÃO 07</t>
  </si>
  <si>
    <t>FORNECIMENTO COM INSTALAÇÃO DE CURVA 1", MODELO CONDULETE TOP OU SIMILAR</t>
  </si>
  <si>
    <t>CURVA PVC SEM ROSCA, 1"X90, CONDULETE TOP OU SIMILAR</t>
  </si>
  <si>
    <t>COMPOSIÇÃO 08</t>
  </si>
  <si>
    <t>FORNECIMENTO COM INSTALAÇÃO DE ABRAÇADEIRA DE 1", MODELO CONDULETE TOP OU SIMILAR</t>
  </si>
  <si>
    <t>ABRAÇADEIRA 1", CONDULETE TOP</t>
  </si>
  <si>
    <t>COMPOSIÇÃO 09</t>
  </si>
  <si>
    <t>ESPELHO / PLACA CEGA 4" X 2", PARA INSTALACAO DE TOMADAS E INTERRUPTORES</t>
  </si>
  <si>
    <t>ESPELHO / PLACA CEGA 4" X 4", PARA INSTALACAO DE TOMADAS E INTERRUPTORES</t>
  </si>
  <si>
    <t>CAIXA DE PASSAGEM, EM PVC, DE 4" X 2", PARA ELETRODUTO FLEXIVEL CORRUGADO</t>
  </si>
  <si>
    <t>CAIXA DE PASSAGEM, EM PVC, DE 4" X 4", PARA ELETRODUTO FLEXIVEL CORRUGADO</t>
  </si>
  <si>
    <t>FORNECIMENTO COM INSTALAÇÃO CAIXA 4X2", COM TAMPA CEGA</t>
  </si>
  <si>
    <t>FORNECIMENTO COM INSTALAÇÃO CAIXA 4X4", COM TAMPA CEGA</t>
  </si>
  <si>
    <t>BUCHA DE NYLON SEM ABA S6, COM PARAFUSO DE 4,20 X 40 MM EM ACO ZINCADO COM</t>
  </si>
  <si>
    <t>JANEIRO/2022</t>
  </si>
  <si>
    <t>RECUPERAÇÃO ESTRUTURAL EM PILAR</t>
  </si>
  <si>
    <t>04778/ORSE</t>
  </si>
  <si>
    <t>RECUPERAÇÃO DE ARMADURA P/ PILARES 12x20CM, 4Ø10MM, INCLUSO REMOÇÃO DE ESTRIBO, LIXAMENTO, PINTURA DE PROTEÇÃO E COLOCAÇÃO DE NOVOS ESTRIBOS C/ESPAÇAM.=12CM (PARA CASOS DE FERRAGENS TOTALMENTE EXPOSTAS)</t>
  </si>
  <si>
    <t>COMPOSIÇÃO 11</t>
  </si>
  <si>
    <t>14.1</t>
  </si>
  <si>
    <t>14.2</t>
  </si>
  <si>
    <t>14.3</t>
  </si>
  <si>
    <t>19.3</t>
  </si>
  <si>
    <t>22.2</t>
  </si>
  <si>
    <t>22.3</t>
  </si>
  <si>
    <t>23.2</t>
  </si>
  <si>
    <t>23.3</t>
  </si>
  <si>
    <t>24.3</t>
  </si>
  <si>
    <t>25.2</t>
  </si>
  <si>
    <t>25.3</t>
  </si>
  <si>
    <t>28.2</t>
  </si>
  <si>
    <t>30.1</t>
  </si>
  <si>
    <t>52.1</t>
  </si>
  <si>
    <t>52.2</t>
  </si>
  <si>
    <t>53.1</t>
  </si>
  <si>
    <t>53.2</t>
  </si>
  <si>
    <t>54.1</t>
  </si>
  <si>
    <t>54.2</t>
  </si>
  <si>
    <t>55.1</t>
  </si>
  <si>
    <t>55.2</t>
  </si>
  <si>
    <t>56.1</t>
  </si>
  <si>
    <t>56.2</t>
  </si>
  <si>
    <t>56.3</t>
  </si>
  <si>
    <t>56.4</t>
  </si>
  <si>
    <t>56.5</t>
  </si>
  <si>
    <t>57.1</t>
  </si>
  <si>
    <t>57.2</t>
  </si>
  <si>
    <t>57.3</t>
  </si>
  <si>
    <t>58.1</t>
  </si>
  <si>
    <t>59.1</t>
  </si>
  <si>
    <t>60.1</t>
  </si>
  <si>
    <t>61.1</t>
  </si>
  <si>
    <t>62.1</t>
  </si>
  <si>
    <t>63.1</t>
  </si>
  <si>
    <t>64.1</t>
  </si>
  <si>
    <t>65.1</t>
  </si>
  <si>
    <t>66.1</t>
  </si>
  <si>
    <t>67.2</t>
  </si>
  <si>
    <t>67.1</t>
  </si>
  <si>
    <t>67.3</t>
  </si>
  <si>
    <t>68.1</t>
  </si>
  <si>
    <t>68.2</t>
  </si>
  <si>
    <t>68.3</t>
  </si>
  <si>
    <t>69.1</t>
  </si>
  <si>
    <t>3 - A 1ª BASE DE PREÇO UTILIZADA FOI O SINAPI: DATA DE REFERÊNCIA TÉCNICA 15/12/2021;</t>
  </si>
  <si>
    <t>4 - A 2ª BASE DE PREÇO UTILIZADA FOI O ORSE: DATA DE REFERÊNCIA NOVEMBRO/2021-1</t>
  </si>
  <si>
    <t>REDE LÓGICA</t>
  </si>
  <si>
    <r>
      <rPr>
        <sz val="14"/>
        <rFont val="Arial Narrow"/>
        <family val="2"/>
      </rPr>
      <t xml:space="preserve">MASSA ÚNICA, PARA RECEBIMENTO DE PINTURA, EM ARGAMASSA TRAÇO 1:2:8, PREPARO MANUAL, APLICADA MANUALMENTE EM FACES INTERNAS DE PAREDES, ESPESSURA DE 10MM, COM EXECUÇÃO DE TALISCAS. AF_06/2014 </t>
    </r>
    <r>
      <rPr>
        <b/>
        <sz val="14"/>
        <rFont val="Arial Narrow"/>
        <family val="2"/>
      </rPr>
      <t>(MASSA ÚNICA PARA FECHAMENTO DO COBOGÓ SOBRE O ANTIGO PORTÃO QUE SERÁ RETIRADO)</t>
    </r>
  </si>
  <si>
    <t>16.3</t>
  </si>
  <si>
    <t>16.4</t>
  </si>
  <si>
    <t>21.2</t>
  </si>
  <si>
    <t>21.3</t>
  </si>
  <si>
    <t>21.4</t>
  </si>
  <si>
    <t>21.5</t>
  </si>
  <si>
    <t>24.4</t>
  </si>
  <si>
    <t>27.2</t>
  </si>
  <si>
    <t>27.3</t>
  </si>
  <si>
    <t>29.3</t>
  </si>
  <si>
    <t>32.2</t>
  </si>
  <si>
    <t>37.2</t>
  </si>
  <si>
    <t>39.2</t>
  </si>
  <si>
    <t>41.2</t>
  </si>
  <si>
    <t>44.2</t>
  </si>
  <si>
    <t>48.2</t>
  </si>
  <si>
    <t>48.3</t>
  </si>
  <si>
    <t>49.4</t>
  </si>
  <si>
    <t>49.5</t>
  </si>
  <si>
    <t>51.4</t>
  </si>
  <si>
    <t>51.5</t>
  </si>
  <si>
    <t>53.3</t>
  </si>
  <si>
    <t>55.3</t>
  </si>
  <si>
    <t>55.4</t>
  </si>
  <si>
    <t>55.5</t>
  </si>
  <si>
    <t>55.6</t>
  </si>
  <si>
    <t>55.7</t>
  </si>
  <si>
    <t>55.8</t>
  </si>
  <si>
    <t>55.9</t>
  </si>
  <si>
    <t>55.10</t>
  </si>
  <si>
    <t>55.11</t>
  </si>
  <si>
    <t>60.2</t>
  </si>
  <si>
    <t>60.3</t>
  </si>
  <si>
    <t>60.4</t>
  </si>
  <si>
    <t>60.5</t>
  </si>
  <si>
    <t>60.6</t>
  </si>
  <si>
    <t>60.7</t>
  </si>
  <si>
    <t>60.8</t>
  </si>
  <si>
    <t>60.9</t>
  </si>
  <si>
    <t>63.2</t>
  </si>
  <si>
    <t>66.2</t>
  </si>
  <si>
    <t>66.3</t>
  </si>
  <si>
    <t>69.3</t>
  </si>
  <si>
    <t>KG</t>
  </si>
  <si>
    <t>04918/ORSE</t>
  </si>
  <si>
    <t>04927/ORSE</t>
  </si>
  <si>
    <t>04923/ORSE</t>
  </si>
  <si>
    <t>08215/ORSE</t>
  </si>
  <si>
    <t>04928/ORSE</t>
  </si>
  <si>
    <t>00140/ORSE</t>
  </si>
  <si>
    <t>BASE  92718/SINAPI</t>
  </si>
  <si>
    <t xml:space="preserve">CONCRETAGEM DE PILARES, FCK =30 MPA, COM USO DE BALDES EM EDIFICAÇÃO COM SEÇÃO MÉDIA DE PILARES MENOR OU IGUAL A 0,25 M² - LANÇAMENTO, ADENSAMENTO E ACABAMENTO. </t>
  </si>
  <si>
    <t>COEF</t>
  </si>
  <si>
    <t>CONCRETO USINADO BOMBEAVEL, CLASSE DE RESISTENCIA C30, COM BRITA 0 E 1, SLUMP = 100 +/- 20 MM, EXCLUI SERVICO DE BOMBEAMENTO (NBR 8953)</t>
  </si>
  <si>
    <t>CARPINTEIRO DE FORMAS COM ENCARGOS COMPLEMENTARES</t>
  </si>
  <si>
    <t>VIBRADOR DE IMERSÃO, DIÂMETRO DE PONTEIRA 45MM, MOTOR ELÉTRICO TRIFÁSICO POTÊNCIA DE 2 CV - CHP DIURNO. AF_06/2015</t>
  </si>
  <si>
    <t>CHP</t>
  </si>
  <si>
    <t>VIBRADOR DE IMERSÃO, DIÂMETRO DE PONTEIRA 45MM, MOTOR ELÉTRICO TRIFÁSICO POTÊNCIA DE 2 CV - CHI DIURNO. AF_06/2015</t>
  </si>
  <si>
    <t>CHI</t>
  </si>
  <si>
    <t>COMPOSIÇÃO 12</t>
  </si>
  <si>
    <t>PREPARO DE SUBSTRATO POR ESCARIFICAÇÃO MANUAL (CORTE DE CONCRETO) ATÉ 3,0CM DE PROFUNDIDADE</t>
  </si>
  <si>
    <t>JATEAMENTO PARA REMOÇÃO DE CROSTAS NO CONCRETO</t>
  </si>
  <si>
    <t xml:space="preserve">ACABAMENTO SUPERFICIAL DE CONCRETO COM LIXAMENTO E POLIMENTO </t>
  </si>
  <si>
    <t>AÇO CA - 50 Ø 6,3 A 12,5MM, INCLUSIVE CORTE, DOBRAGEM, MONTAGEM E COLOCACAO DE FERRAGENS NAS FORMAS, PARA SUPERESTRUTURAS E FUNDAÇÕES - R1</t>
  </si>
  <si>
    <t>ARMAÇÃO DE PILAR OU VIGA DE UMA ESTRUTURA CONVENCIONAL DE CONCRETO ARMADO EM UM EDIFÍCIO DE MÚLTIPLOS PAVIMENTOS UTILIZANDO AÇO CA-50 DE 16,0 MM - MONTAGEM. AF_12/2015</t>
  </si>
  <si>
    <t>APLICAÇÃO DE ADESIVO ESTRUTURAL BASE RESINA EPOXI, FLUIDO, SIKADUR 32 (CONSUMO=1,67 KG/M² P/ 1MM DE ESP), SIKA OU SIMILAR, APLICAÇÃO:ANCORAGEM DE CABOS,COLAGEM ELEMENTOS PRE-MOLDADOS,FIXAÇÃO DE CHUMBADORES,JUNTAS DE CONCRETAGEM(FRIAS), ETC.</t>
  </si>
  <si>
    <t xml:space="preserve">FORMA PARA RECUPERAÇÃO DE CONCRETO COM CHAPAS PLASTIFICADAS, INCLUSIVE ESCORAMENTO </t>
  </si>
  <si>
    <t xml:space="preserve">CONCRETAGEM DE PILARES, FCK =30 MPA, COM USO DE BALDES EM EDIFICAÇÃO COM SEÇÃO MÉDIA DE PILARES MENOR OU IGUAL A 0,25 M² - LANÇAMENTO, ADENSAMENTO E ACABAMENTO.  </t>
  </si>
  <si>
    <t>08718/ORSE</t>
  </si>
  <si>
    <t>RECUPERAÇÃO DE ARMADURA DE AÇO - BARRA ATÉ 1/2" COM TINTA DE ALTO TEOR DE ZINCO - NITOPRIME ZN OU SIMILAR, ESP: 2MM</t>
  </si>
  <si>
    <t>20.3</t>
  </si>
  <si>
    <t>20.4</t>
  </si>
  <si>
    <t>20.5</t>
  </si>
  <si>
    <t>20.6</t>
  </si>
  <si>
    <t>20.7</t>
  </si>
  <si>
    <t>20.8</t>
  </si>
  <si>
    <t>20.9</t>
  </si>
  <si>
    <t>68.4</t>
  </si>
  <si>
    <t>68.5</t>
  </si>
  <si>
    <t>68.6</t>
  </si>
  <si>
    <t>68.7</t>
  </si>
  <si>
    <t>68.8</t>
  </si>
  <si>
    <t>68.9</t>
  </si>
  <si>
    <t>Salvador, 11 de janeiro de 2021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</si>
</sst>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d/m/yy\ h:mm;@"/>
    <numFmt numFmtId="167" formatCode="#,##0.00_ ;\-#,##0.00\ "/>
    <numFmt numFmtId="168" formatCode="0.0%"/>
    <numFmt numFmtId="169" formatCode="dd/mm/yy;@"/>
    <numFmt numFmtId="170" formatCode="0.0000"/>
    <numFmt numFmtId="171" formatCode="#,##0.000"/>
    <numFmt numFmtId="172" formatCode="#,##0.0000"/>
  </numFmts>
  <fonts count="9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 Narrow"/>
      <family val="2"/>
    </font>
    <font>
      <sz val="10"/>
      <name val="Arial"/>
      <family val="2"/>
    </font>
    <font>
      <b/>
      <sz val="14"/>
      <name val="Arial Narrow"/>
      <family val="2"/>
    </font>
    <font>
      <b/>
      <sz val="14"/>
      <color indexed="10"/>
      <name val="Arial Narrow"/>
      <family val="2"/>
    </font>
    <font>
      <sz val="14"/>
      <name val="Arial Narrow"/>
      <family val="2"/>
    </font>
    <font>
      <sz val="14"/>
      <color indexed="8"/>
      <name val="Arial Narrow"/>
      <family val="2"/>
    </font>
    <font>
      <sz val="8"/>
      <name val="Calibri"/>
      <family val="2"/>
      <scheme val="minor"/>
    </font>
    <font>
      <b/>
      <sz val="24"/>
      <name val="Arial Narrow"/>
      <family val="2"/>
    </font>
    <font>
      <b/>
      <sz val="12"/>
      <name val="Arial Narrow"/>
      <family val="2"/>
    </font>
    <font>
      <sz val="12"/>
      <color rgb="FFFF0000"/>
      <name val="Arial Narrow"/>
      <family val="2"/>
    </font>
    <font>
      <b/>
      <sz val="12"/>
      <color rgb="FFFF0000"/>
      <name val="Arial Narrow"/>
      <family val="2"/>
    </font>
    <font>
      <b/>
      <sz val="16"/>
      <name val="Arial Narrow"/>
      <family val="2"/>
    </font>
    <font>
      <i/>
      <sz val="8"/>
      <color rgb="FFFF0000"/>
      <name val="Arial Narrow"/>
      <family val="2"/>
    </font>
    <font>
      <sz val="12"/>
      <name val="Arial Narrow"/>
      <family val="2"/>
    </font>
    <font>
      <b/>
      <i/>
      <sz val="12"/>
      <color rgb="FFFF0000"/>
      <name val="Arial Narrow"/>
      <family val="2"/>
    </font>
    <font>
      <b/>
      <sz val="9"/>
      <name val="Arial Narrow"/>
      <family val="2"/>
    </font>
    <font>
      <sz val="9"/>
      <color indexed="8"/>
      <name val="Arial Narrow"/>
      <family val="2"/>
    </font>
    <font>
      <sz val="10"/>
      <color indexed="8"/>
      <name val="Arial Narrow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indexed="8"/>
      <name val="Arial Narrow"/>
      <family val="2"/>
    </font>
    <font>
      <sz val="8"/>
      <name val="Comic Sans MS"/>
      <family val="4"/>
    </font>
    <font>
      <b/>
      <sz val="18"/>
      <name val="Arial Narrow"/>
      <family val="2"/>
    </font>
    <font>
      <sz val="16"/>
      <name val="Arial Narrow"/>
      <family val="2"/>
    </font>
    <font>
      <b/>
      <sz val="11"/>
      <name val="Arial Narrow"/>
      <family val="2"/>
    </font>
    <font>
      <sz val="16"/>
      <color indexed="8"/>
      <name val="Arial Narrow"/>
      <family val="2"/>
    </font>
    <font>
      <b/>
      <sz val="16"/>
      <color indexed="8"/>
      <name val="Arial Narrow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0"/>
      <name val="Comic Sans MS"/>
      <family val="4"/>
    </font>
    <font>
      <b/>
      <i/>
      <sz val="14"/>
      <name val="Arial Narrow"/>
      <family val="2"/>
    </font>
    <font>
      <b/>
      <sz val="10"/>
      <name val="Comic Sans MS"/>
      <family val="4"/>
    </font>
    <font>
      <b/>
      <sz val="20"/>
      <name val="Arial Narrow"/>
      <family val="2"/>
    </font>
    <font>
      <sz val="12"/>
      <color indexed="8"/>
      <name val="Arial Narrow"/>
      <family val="2"/>
    </font>
    <font>
      <b/>
      <sz val="12"/>
      <color indexed="8"/>
      <name val="Arial Narrow"/>
      <family val="2"/>
    </font>
    <font>
      <sz val="10"/>
      <name val="Arial"/>
      <family val="2"/>
    </font>
    <font>
      <sz val="11"/>
      <color indexed="8"/>
      <name val="Arial"/>
      <family val="2"/>
    </font>
    <font>
      <i/>
      <sz val="8"/>
      <name val="Arial Narrow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sz val="14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indexed="16"/>
      <name val="Arial"/>
      <family val="2"/>
    </font>
    <font>
      <sz val="13"/>
      <name val="Arial"/>
      <family val="2"/>
    </font>
    <font>
      <b/>
      <sz val="9"/>
      <name val="Arial"/>
      <family val="2"/>
    </font>
    <font>
      <b/>
      <sz val="11"/>
      <color indexed="10"/>
      <name val="Arial"/>
      <family val="2"/>
    </font>
    <font>
      <b/>
      <sz val="11"/>
      <color indexed="54"/>
      <name val="Arial"/>
      <family val="2"/>
    </font>
    <font>
      <sz val="11"/>
      <color indexed="9"/>
      <name val="Arial"/>
      <family val="2"/>
    </font>
    <font>
      <b/>
      <sz val="11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b/>
      <sz val="11"/>
      <color indexed="9"/>
      <name val="Arial"/>
      <family val="2"/>
    </font>
    <font>
      <sz val="14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12"/>
      <name val="Arial"/>
      <family val="2"/>
    </font>
    <font>
      <b/>
      <strike/>
      <sz val="10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16"/>
      <name val="Arial"/>
      <family val="2"/>
    </font>
    <font>
      <sz val="18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b/>
      <sz val="14"/>
      <color rgb="FFFF000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6"/>
      <name val="Arial"/>
      <family val="2"/>
    </font>
    <font>
      <b/>
      <sz val="8"/>
      <name val="Courier"/>
      <family val="3"/>
    </font>
    <font>
      <sz val="8"/>
      <name val="Courier"/>
      <family val="3"/>
    </font>
    <font>
      <b/>
      <sz val="14"/>
      <color rgb="FFFF0000"/>
      <name val="Arial Narrow"/>
      <family val="2"/>
    </font>
    <font>
      <sz val="8"/>
      <color rgb="FFFF0000"/>
      <name val="Courier"/>
      <family val="3"/>
    </font>
    <font>
      <b/>
      <sz val="14"/>
      <name val="Courier"/>
      <family val="3"/>
    </font>
    <font>
      <b/>
      <sz val="8"/>
      <name val="Courier"/>
      <family val="3"/>
    </font>
    <font>
      <i/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9.9"/>
      <color theme="10"/>
      <name val="Calibri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8"/>
      <color indexed="8"/>
      <name val="Courier"/>
      <family val="3"/>
    </font>
    <font>
      <b/>
      <sz val="8"/>
      <name val="Courie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6" tint="0.59999389629810485"/>
        <bgColor indexed="8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DFDFD"/>
        <bgColor indexed="64"/>
      </patternFill>
    </fill>
    <fill>
      <patternFill patternType="solid">
        <fgColor theme="0"/>
        <bgColor indexed="8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9" fillId="0" borderId="0"/>
    <xf numFmtId="164" fontId="3" fillId="0" borderId="0" applyFont="0" applyFill="0" applyBorder="0" applyAlignment="0" applyProtection="0"/>
    <xf numFmtId="0" fontId="3" fillId="0" borderId="0"/>
    <xf numFmtId="0" fontId="39" fillId="0" borderId="0"/>
    <xf numFmtId="0" fontId="1" fillId="0" borderId="0"/>
    <xf numFmtId="43" fontId="59" fillId="0" borderId="0" applyFont="0" applyFill="0" applyBorder="0" applyAlignment="0" applyProtection="0"/>
    <xf numFmtId="0" fontId="59" fillId="0" borderId="0"/>
    <xf numFmtId="0" fontId="3" fillId="0" borderId="0"/>
    <xf numFmtId="0" fontId="85" fillId="0" borderId="0" applyNumberFormat="0" applyFill="0" applyBorder="0" applyAlignment="0" applyProtection="0">
      <alignment vertical="top"/>
      <protection locked="0"/>
    </xf>
  </cellStyleXfs>
  <cellXfs count="846">
    <xf numFmtId="0" fontId="0" fillId="0" borderId="0" xfId="0"/>
    <xf numFmtId="0" fontId="6" fillId="2" borderId="4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wrapText="1"/>
    </xf>
    <xf numFmtId="2" fontId="6" fillId="2" borderId="2" xfId="0" applyNumberFormat="1" applyFont="1" applyFill="1" applyBorder="1" applyAlignment="1">
      <alignment horizontal="center" wrapText="1"/>
    </xf>
    <xf numFmtId="4" fontId="6" fillId="2" borderId="5" xfId="1" applyNumberFormat="1" applyFont="1" applyFill="1" applyBorder="1" applyAlignment="1">
      <alignment horizontal="center"/>
    </xf>
    <xf numFmtId="165" fontId="7" fillId="2" borderId="3" xfId="4" applyFont="1" applyFill="1" applyBorder="1" applyAlignment="1">
      <alignment horizontal="right"/>
    </xf>
    <xf numFmtId="0" fontId="6" fillId="2" borderId="4" xfId="0" applyFont="1" applyFill="1" applyBorder="1" applyAlignment="1">
      <alignment horizontal="center" vertical="distributed" wrapText="1"/>
    </xf>
    <xf numFmtId="0" fontId="6" fillId="2" borderId="2" xfId="0" applyFont="1" applyFill="1" applyBorder="1" applyAlignment="1">
      <alignment vertical="distributed" wrapText="1"/>
    </xf>
    <xf numFmtId="43" fontId="11" fillId="0" borderId="10" xfId="1" applyFont="1" applyBorder="1" applyAlignment="1"/>
    <xf numFmtId="10" fontId="12" fillId="0" borderId="11" xfId="5" applyNumberFormat="1" applyFont="1" applyBorder="1" applyAlignment="1"/>
    <xf numFmtId="166" fontId="14" fillId="0" borderId="0" xfId="7" applyNumberFormat="1" applyFont="1" applyAlignment="1" applyProtection="1">
      <alignment horizontal="center" vertical="center" wrapText="1"/>
      <protection locked="0"/>
    </xf>
    <xf numFmtId="10" fontId="12" fillId="0" borderId="13" xfId="5" applyNumberFormat="1" applyFont="1" applyBorder="1" applyAlignment="1"/>
    <xf numFmtId="43" fontId="11" fillId="0" borderId="0" xfId="1" applyFont="1" applyBorder="1" applyAlignment="1"/>
    <xf numFmtId="49" fontId="15" fillId="0" borderId="0" xfId="7" applyNumberFormat="1" applyFont="1" applyAlignment="1" applyProtection="1">
      <alignment vertical="distributed" wrapText="1"/>
      <protection locked="0"/>
    </xf>
    <xf numFmtId="43" fontId="11" fillId="0" borderId="0" xfId="1" applyFont="1" applyBorder="1" applyAlignment="1">
      <alignment horizontal="center"/>
    </xf>
    <xf numFmtId="10" fontId="16" fillId="0" borderId="0" xfId="5" applyNumberFormat="1" applyFont="1" applyBorder="1" applyAlignment="1">
      <alignment horizontal="center"/>
    </xf>
    <xf numFmtId="10" fontId="12" fillId="0" borderId="16" xfId="5" applyNumberFormat="1" applyFont="1" applyBorder="1" applyAlignment="1"/>
    <xf numFmtId="0" fontId="10" fillId="3" borderId="20" xfId="1" applyNumberFormat="1" applyFont="1" applyFill="1" applyBorder="1" applyAlignment="1">
      <alignment horizontal="center" vertical="center" wrapText="1"/>
    </xf>
    <xf numFmtId="0" fontId="17" fillId="3" borderId="21" xfId="1" applyNumberFormat="1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vertical="center" wrapText="1"/>
    </xf>
    <xf numFmtId="43" fontId="10" fillId="3" borderId="21" xfId="1" applyFont="1" applyFill="1" applyBorder="1" applyAlignment="1">
      <alignment horizontal="center" vertical="center" wrapText="1"/>
    </xf>
    <xf numFmtId="4" fontId="10" fillId="3" borderId="21" xfId="1" applyNumberFormat="1" applyFont="1" applyFill="1" applyBorder="1" applyAlignment="1">
      <alignment horizontal="center" vertical="center" wrapText="1"/>
    </xf>
    <xf numFmtId="43" fontId="10" fillId="3" borderId="22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167" fontId="10" fillId="0" borderId="15" xfId="4" applyNumberFormat="1" applyFont="1" applyFill="1" applyBorder="1" applyAlignment="1" applyProtection="1">
      <alignment wrapText="1"/>
      <protection locked="0"/>
    </xf>
    <xf numFmtId="0" fontId="6" fillId="4" borderId="26" xfId="1" applyNumberFormat="1" applyFont="1" applyFill="1" applyBorder="1" applyAlignment="1">
      <alignment horizontal="right" vertical="center"/>
    </xf>
    <xf numFmtId="0" fontId="6" fillId="4" borderId="27" xfId="1" applyNumberFormat="1" applyFont="1" applyFill="1" applyBorder="1" applyAlignment="1">
      <alignment horizontal="right" vertical="center"/>
    </xf>
    <xf numFmtId="0" fontId="18" fillId="0" borderId="27" xfId="0" applyFont="1" applyBorder="1" applyAlignment="1">
      <alignment vertical="center"/>
    </xf>
    <xf numFmtId="0" fontId="6" fillId="4" borderId="27" xfId="1" applyNumberFormat="1" applyFont="1" applyFill="1" applyBorder="1" applyAlignment="1">
      <alignment horizontal="center"/>
    </xf>
    <xf numFmtId="0" fontId="13" fillId="4" borderId="27" xfId="1" applyNumberFormat="1" applyFont="1" applyFill="1" applyBorder="1" applyAlignment="1">
      <alignment horizontal="center"/>
    </xf>
    <xf numFmtId="10" fontId="13" fillId="4" borderId="27" xfId="5" applyNumberFormat="1" applyFont="1" applyFill="1" applyBorder="1" applyAlignment="1">
      <alignment horizontal="center"/>
    </xf>
    <xf numFmtId="0" fontId="19" fillId="0" borderId="9" xfId="1" applyNumberFormat="1" applyFont="1" applyBorder="1" applyAlignment="1">
      <alignment horizontal="center" vertical="center"/>
    </xf>
    <xf numFmtId="0" fontId="19" fillId="0" borderId="10" xfId="1" applyNumberFormat="1" applyFont="1" applyBorder="1" applyAlignment="1">
      <alignment horizontal="center" vertical="center"/>
    </xf>
    <xf numFmtId="0" fontId="19" fillId="0" borderId="10" xfId="0" applyFont="1" applyBorder="1" applyAlignment="1">
      <alignment vertical="distributed" wrapText="1"/>
    </xf>
    <xf numFmtId="43" fontId="19" fillId="0" borderId="10" xfId="1" applyFont="1" applyBorder="1" applyAlignment="1">
      <alignment horizontal="center"/>
    </xf>
    <xf numFmtId="4" fontId="19" fillId="0" borderId="10" xfId="1" applyNumberFormat="1" applyFont="1" applyBorder="1" applyAlignment="1">
      <alignment horizontal="center"/>
    </xf>
    <xf numFmtId="43" fontId="19" fillId="0" borderId="10" xfId="1" applyFont="1" applyBorder="1" applyAlignment="1"/>
    <xf numFmtId="43" fontId="19" fillId="0" borderId="11" xfId="1" applyFont="1" applyBorder="1" applyAlignment="1"/>
    <xf numFmtId="0" fontId="19" fillId="0" borderId="0" xfId="0" applyFont="1" applyAlignment="1">
      <alignment vertical="distributed" wrapText="1"/>
    </xf>
    <xf numFmtId="43" fontId="19" fillId="0" borderId="0" xfId="1" applyFont="1" applyBorder="1" applyAlignment="1"/>
    <xf numFmtId="0" fontId="19" fillId="0" borderId="0" xfId="1" applyNumberFormat="1" applyFont="1" applyAlignment="1">
      <alignment horizontal="center" vertical="center"/>
    </xf>
    <xf numFmtId="43" fontId="19" fillId="0" borderId="0" xfId="1" applyFont="1" applyAlignment="1">
      <alignment horizontal="center"/>
    </xf>
    <xf numFmtId="43" fontId="19" fillId="0" borderId="0" xfId="1" applyFont="1" applyAlignment="1"/>
    <xf numFmtId="4" fontId="2" fillId="0" borderId="0" xfId="1" applyNumberFormat="1" applyFont="1" applyAlignment="1">
      <alignment horizontal="center"/>
    </xf>
    <xf numFmtId="43" fontId="2" fillId="0" borderId="0" xfId="1" applyFont="1" applyAlignment="1"/>
    <xf numFmtId="49" fontId="15" fillId="0" borderId="12" xfId="7" applyNumberFormat="1" applyFont="1" applyBorder="1" applyAlignment="1" applyProtection="1">
      <alignment horizontal="left" vertical="center" wrapText="1"/>
      <protection locked="0"/>
    </xf>
    <xf numFmtId="49" fontId="15" fillId="0" borderId="0" xfId="7" applyNumberFormat="1" applyFont="1" applyAlignment="1" applyProtection="1">
      <alignment horizontal="left" vertical="center" wrapText="1"/>
      <protection locked="0"/>
    </xf>
    <xf numFmtId="43" fontId="2" fillId="0" borderId="0" xfId="1" applyFont="1" applyAlignment="1">
      <alignment horizontal="center"/>
    </xf>
    <xf numFmtId="4" fontId="19" fillId="0" borderId="0" xfId="1" applyNumberFormat="1" applyFont="1" applyAlignment="1">
      <alignment horizontal="center"/>
    </xf>
    <xf numFmtId="0" fontId="0" fillId="2" borderId="0" xfId="0" applyFill="1"/>
    <xf numFmtId="0" fontId="2" fillId="6" borderId="1" xfId="1" applyNumberFormat="1" applyFont="1" applyFill="1" applyBorder="1" applyAlignment="1">
      <alignment horizontal="center" vertical="center"/>
    </xf>
    <xf numFmtId="165" fontId="4" fillId="5" borderId="30" xfId="4" applyFont="1" applyFill="1" applyBorder="1" applyAlignment="1">
      <alignment horizontal="right"/>
    </xf>
    <xf numFmtId="0" fontId="6" fillId="2" borderId="31" xfId="0" applyFont="1" applyFill="1" applyBorder="1" applyAlignment="1">
      <alignment horizontal="center" vertical="distributed" wrapText="1"/>
    </xf>
    <xf numFmtId="165" fontId="7" fillId="2" borderId="33" xfId="4" applyFont="1" applyFill="1" applyBorder="1" applyAlignment="1">
      <alignment horizontal="right"/>
    </xf>
    <xf numFmtId="0" fontId="2" fillId="7" borderId="1" xfId="1" applyNumberFormat="1" applyFont="1" applyFill="1" applyBorder="1" applyAlignment="1">
      <alignment horizontal="center" vertical="center"/>
    </xf>
    <xf numFmtId="0" fontId="2" fillId="7" borderId="2" xfId="1" applyNumberFormat="1" applyFont="1" applyFill="1" applyBorder="1" applyAlignment="1">
      <alignment horizontal="center" vertical="center"/>
    </xf>
    <xf numFmtId="0" fontId="4" fillId="7" borderId="2" xfId="2" applyFont="1" applyFill="1" applyBorder="1" applyAlignment="1">
      <alignment vertical="distributed" wrapText="1"/>
    </xf>
    <xf numFmtId="43" fontId="2" fillId="7" borderId="2" xfId="1" applyFont="1" applyFill="1" applyBorder="1" applyAlignment="1">
      <alignment horizontal="center"/>
    </xf>
    <xf numFmtId="4" fontId="2" fillId="7" borderId="2" xfId="1" applyNumberFormat="1" applyFont="1" applyFill="1" applyBorder="1" applyAlignment="1">
      <alignment horizontal="right"/>
    </xf>
    <xf numFmtId="4" fontId="5" fillId="7" borderId="2" xfId="3" applyNumberFormat="1" applyFont="1" applyFill="1" applyBorder="1" applyAlignment="1">
      <alignment horizontal="right"/>
    </xf>
    <xf numFmtId="165" fontId="4" fillId="7" borderId="3" xfId="4" applyFont="1" applyFill="1" applyBorder="1" applyAlignment="1">
      <alignment horizontal="right"/>
    </xf>
    <xf numFmtId="0" fontId="6" fillId="2" borderId="2" xfId="0" applyFont="1" applyFill="1" applyBorder="1" applyAlignment="1">
      <alignment horizontal="center" vertical="center" wrapText="1"/>
    </xf>
    <xf numFmtId="165" fontId="6" fillId="2" borderId="3" xfId="4" applyFont="1" applyFill="1" applyBorder="1" applyAlignment="1">
      <alignment horizontal="right"/>
    </xf>
    <xf numFmtId="0" fontId="6" fillId="2" borderId="8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wrapText="1"/>
    </xf>
    <xf numFmtId="0" fontId="4" fillId="5" borderId="7" xfId="2" applyFont="1" applyFill="1" applyBorder="1" applyAlignment="1">
      <alignment horizontal="center" vertical="distributed" wrapText="1"/>
    </xf>
    <xf numFmtId="0" fontId="4" fillId="5" borderId="6" xfId="2" applyFont="1" applyFill="1" applyBorder="1" applyAlignment="1">
      <alignment vertical="distributed" wrapText="1"/>
    </xf>
    <xf numFmtId="0" fontId="4" fillId="5" borderId="7" xfId="2" applyFont="1" applyFill="1" applyBorder="1" applyAlignment="1">
      <alignment vertical="distributed" wrapText="1"/>
    </xf>
    <xf numFmtId="4" fontId="0" fillId="0" borderId="0" xfId="0" applyNumberFormat="1"/>
    <xf numFmtId="4" fontId="0" fillId="2" borderId="0" xfId="0" applyNumberFormat="1" applyFill="1"/>
    <xf numFmtId="10" fontId="22" fillId="0" borderId="10" xfId="9" applyNumberFormat="1" applyFont="1" applyBorder="1" applyAlignment="1">
      <alignment horizontal="center" vertical="center"/>
    </xf>
    <xf numFmtId="10" fontId="19" fillId="0" borderId="10" xfId="9" applyNumberFormat="1" applyFont="1" applyBorder="1" applyAlignment="1"/>
    <xf numFmtId="0" fontId="23" fillId="0" borderId="10" xfId="10" applyFont="1" applyFill="1" applyBorder="1"/>
    <xf numFmtId="9" fontId="23" fillId="0" borderId="10" xfId="10" applyNumberFormat="1" applyFont="1" applyFill="1" applyBorder="1" applyAlignment="1">
      <alignment horizontal="center"/>
    </xf>
    <xf numFmtId="0" fontId="23" fillId="0" borderId="11" xfId="10" applyFont="1" applyFill="1" applyBorder="1"/>
    <xf numFmtId="0" fontId="23" fillId="0" borderId="0" xfId="10" applyFont="1" applyFill="1"/>
    <xf numFmtId="0" fontId="23" fillId="0" borderId="0" xfId="10" applyFont="1" applyFill="1" applyAlignment="1">
      <alignment horizontal="center"/>
    </xf>
    <xf numFmtId="10" fontId="22" fillId="0" borderId="0" xfId="9" applyNumberFormat="1" applyFont="1" applyBorder="1" applyAlignment="1">
      <alignment horizontal="center" vertical="center"/>
    </xf>
    <xf numFmtId="10" fontId="19" fillId="0" borderId="0" xfId="9" applyNumberFormat="1" applyFont="1" applyBorder="1" applyAlignment="1"/>
    <xf numFmtId="0" fontId="23" fillId="0" borderId="0" xfId="10" applyFont="1" applyFill="1" applyBorder="1"/>
    <xf numFmtId="9" fontId="23" fillId="0" borderId="0" xfId="10" applyNumberFormat="1" applyFont="1" applyFill="1" applyBorder="1" applyAlignment="1">
      <alignment horizontal="center"/>
    </xf>
    <xf numFmtId="0" fontId="23" fillId="0" borderId="13" xfId="10" applyFont="1" applyFill="1" applyBorder="1"/>
    <xf numFmtId="49" fontId="25" fillId="0" borderId="12" xfId="11" applyNumberFormat="1" applyFont="1" applyFill="1" applyBorder="1" applyAlignment="1" applyProtection="1">
      <alignment horizontal="left" vertical="center" wrapText="1"/>
      <protection locked="0"/>
    </xf>
    <xf numFmtId="49" fontId="15" fillId="0" borderId="0" xfId="11" applyNumberFormat="1" applyFont="1" applyFill="1" applyBorder="1" applyAlignment="1" applyProtection="1">
      <alignment vertical="distributed" wrapText="1"/>
      <protection locked="0"/>
    </xf>
    <xf numFmtId="49" fontId="15" fillId="0" borderId="0" xfId="11" applyNumberFormat="1" applyFont="1" applyFill="1" applyBorder="1" applyAlignment="1" applyProtection="1">
      <alignment horizontal="center" wrapText="1"/>
      <protection locked="0"/>
    </xf>
    <xf numFmtId="49" fontId="15" fillId="0" borderId="0" xfId="11" applyNumberFormat="1" applyFont="1" applyFill="1" applyBorder="1" applyAlignment="1" applyProtection="1">
      <alignment horizontal="left" wrapText="1"/>
      <protection locked="0"/>
    </xf>
    <xf numFmtId="49" fontId="15" fillId="0" borderId="0" xfId="11" applyNumberFormat="1" applyFont="1" applyFill="1" applyBorder="1" applyAlignment="1" applyProtection="1">
      <alignment wrapText="1"/>
      <protection locked="0"/>
    </xf>
    <xf numFmtId="10" fontId="27" fillId="0" borderId="0" xfId="9" applyNumberFormat="1" applyFont="1" applyBorder="1" applyAlignment="1">
      <alignment horizontal="center"/>
    </xf>
    <xf numFmtId="0" fontId="10" fillId="0" borderId="14" xfId="12" applyNumberFormat="1" applyFont="1" applyFill="1" applyBorder="1" applyAlignment="1" applyProtection="1">
      <alignment vertical="center"/>
      <protection locked="0"/>
    </xf>
    <xf numFmtId="39" fontId="10" fillId="0" borderId="15" xfId="4" applyNumberFormat="1" applyFont="1" applyFill="1" applyBorder="1" applyAlignment="1" applyProtection="1">
      <alignment wrapText="1"/>
      <protection locked="0"/>
    </xf>
    <xf numFmtId="4" fontId="13" fillId="0" borderId="15" xfId="10" applyNumberFormat="1" applyFont="1" applyFill="1" applyBorder="1" applyAlignment="1">
      <alignment horizontal="center" vertical="justify"/>
    </xf>
    <xf numFmtId="9" fontId="23" fillId="0" borderId="15" xfId="10" applyNumberFormat="1" applyFont="1" applyFill="1" applyBorder="1" applyAlignment="1">
      <alignment horizontal="center"/>
    </xf>
    <xf numFmtId="0" fontId="23" fillId="0" borderId="16" xfId="10" applyFont="1" applyFill="1" applyBorder="1"/>
    <xf numFmtId="0" fontId="23" fillId="0" borderId="0" xfId="10" applyFont="1" applyFill="1" applyAlignment="1">
      <alignment horizontal="right"/>
    </xf>
    <xf numFmtId="10" fontId="23" fillId="0" borderId="0" xfId="10" applyNumberFormat="1" applyFont="1" applyFill="1" applyAlignment="1">
      <alignment horizontal="center"/>
    </xf>
    <xf numFmtId="9" fontId="23" fillId="0" borderId="0" xfId="10" applyNumberFormat="1" applyFont="1" applyFill="1" applyAlignment="1">
      <alignment horizontal="center"/>
    </xf>
    <xf numFmtId="0" fontId="31" fillId="0" borderId="4" xfId="13" quotePrefix="1" applyNumberFormat="1" applyFont="1" applyFill="1" applyBorder="1" applyAlignment="1">
      <alignment horizontal="center" vertical="center"/>
    </xf>
    <xf numFmtId="0" fontId="31" fillId="0" borderId="5" xfId="13" quotePrefix="1" applyNumberFormat="1" applyFont="1" applyFill="1" applyBorder="1" applyAlignment="1">
      <alignment horizontal="left" vertical="center"/>
    </xf>
    <xf numFmtId="165" fontId="32" fillId="0" borderId="5" xfId="4" applyFont="1" applyFill="1" applyBorder="1" applyAlignment="1">
      <alignment horizontal="center" vertical="center"/>
    </xf>
    <xf numFmtId="10" fontId="32" fillId="0" borderId="5" xfId="9" applyNumberFormat="1" applyFont="1" applyFill="1" applyBorder="1" applyAlignment="1">
      <alignment horizontal="center" vertical="center"/>
    </xf>
    <xf numFmtId="168" fontId="32" fillId="0" borderId="5" xfId="9" applyNumberFormat="1" applyFont="1" applyFill="1" applyBorder="1" applyAlignment="1">
      <alignment horizontal="center"/>
    </xf>
    <xf numFmtId="164" fontId="32" fillId="0" borderId="5" xfId="14" applyFont="1" applyFill="1" applyBorder="1"/>
    <xf numFmtId="10" fontId="32" fillId="0" borderId="5" xfId="14" applyNumberFormat="1" applyFont="1" applyFill="1" applyBorder="1" applyAlignment="1">
      <alignment horizontal="center"/>
    </xf>
    <xf numFmtId="164" fontId="32" fillId="0" borderId="25" xfId="14" applyFont="1" applyFill="1" applyBorder="1"/>
    <xf numFmtId="164" fontId="3" fillId="0" borderId="8" xfId="14" applyFont="1" applyFill="1" applyBorder="1"/>
    <xf numFmtId="9" fontId="3" fillId="0" borderId="2" xfId="9" applyNumberFormat="1" applyFont="1" applyFill="1" applyBorder="1" applyAlignment="1">
      <alignment horizontal="center"/>
    </xf>
    <xf numFmtId="164" fontId="3" fillId="0" borderId="2" xfId="14" applyFont="1" applyFill="1" applyBorder="1"/>
    <xf numFmtId="164" fontId="3" fillId="0" borderId="3" xfId="14" applyFont="1" applyFill="1" applyBorder="1"/>
    <xf numFmtId="9" fontId="33" fillId="0" borderId="0" xfId="10" applyNumberFormat="1" applyFont="1" applyFill="1"/>
    <xf numFmtId="10" fontId="33" fillId="0" borderId="0" xfId="14" applyNumberFormat="1" applyFont="1" applyFill="1" applyAlignment="1">
      <alignment horizontal="center"/>
    </xf>
    <xf numFmtId="0" fontId="33" fillId="0" borderId="0" xfId="10" applyFont="1" applyFill="1" applyAlignment="1">
      <alignment horizontal="center"/>
    </xf>
    <xf numFmtId="164" fontId="33" fillId="0" borderId="0" xfId="10" applyNumberFormat="1" applyFont="1" applyFill="1"/>
    <xf numFmtId="10" fontId="33" fillId="0" borderId="0" xfId="10" applyNumberFormat="1" applyFont="1" applyFill="1"/>
    <xf numFmtId="0" fontId="33" fillId="0" borderId="0" xfId="10" applyFont="1" applyFill="1"/>
    <xf numFmtId="0" fontId="31" fillId="0" borderId="1" xfId="13" quotePrefix="1" applyNumberFormat="1" applyFont="1" applyFill="1" applyBorder="1" applyAlignment="1">
      <alignment horizontal="center" vertical="center"/>
    </xf>
    <xf numFmtId="0" fontId="31" fillId="0" borderId="2" xfId="13" quotePrefix="1" applyNumberFormat="1" applyFont="1" applyFill="1" applyBorder="1" applyAlignment="1">
      <alignment horizontal="left" vertical="center"/>
    </xf>
    <xf numFmtId="10" fontId="32" fillId="0" borderId="2" xfId="9" applyNumberFormat="1" applyFont="1" applyFill="1" applyBorder="1" applyAlignment="1">
      <alignment horizontal="center"/>
    </xf>
    <xf numFmtId="10" fontId="32" fillId="0" borderId="2" xfId="9" applyNumberFormat="1" applyFont="1" applyFill="1" applyBorder="1"/>
    <xf numFmtId="164" fontId="32" fillId="0" borderId="2" xfId="14" applyFont="1" applyFill="1" applyBorder="1"/>
    <xf numFmtId="10" fontId="32" fillId="0" borderId="2" xfId="14" applyNumberFormat="1" applyFont="1" applyFill="1" applyBorder="1" applyAlignment="1">
      <alignment horizontal="center"/>
    </xf>
    <xf numFmtId="0" fontId="31" fillId="0" borderId="2" xfId="13" quotePrefix="1" applyNumberFormat="1" applyFont="1" applyFill="1" applyBorder="1" applyAlignment="1">
      <alignment horizontal="left" vertical="center" wrapText="1"/>
    </xf>
    <xf numFmtId="4" fontId="31" fillId="0" borderId="2" xfId="13" quotePrefix="1" applyNumberFormat="1" applyFont="1" applyFill="1" applyBorder="1" applyAlignment="1">
      <alignment horizontal="left" vertical="center"/>
    </xf>
    <xf numFmtId="4" fontId="31" fillId="0" borderId="2" xfId="13" quotePrefix="1" applyNumberFormat="1" applyFont="1" applyFill="1" applyBorder="1" applyAlignment="1">
      <alignment horizontal="left" vertical="center" wrapText="1"/>
    </xf>
    <xf numFmtId="164" fontId="32" fillId="0" borderId="3" xfId="14" applyFont="1" applyFill="1" applyBorder="1"/>
    <xf numFmtId="0" fontId="31" fillId="0" borderId="37" xfId="13" quotePrefix="1" applyNumberFormat="1" applyFont="1" applyFill="1" applyBorder="1" applyAlignment="1">
      <alignment horizontal="center" vertical="center"/>
    </xf>
    <xf numFmtId="0" fontId="31" fillId="0" borderId="23" xfId="13" quotePrefix="1" applyNumberFormat="1" applyFont="1" applyFill="1" applyBorder="1" applyAlignment="1">
      <alignment horizontal="left" vertical="center" wrapText="1"/>
    </xf>
    <xf numFmtId="164" fontId="32" fillId="0" borderId="23" xfId="14" applyFont="1" applyFill="1" applyBorder="1" applyAlignment="1">
      <alignment horizontal="center" vertical="center"/>
    </xf>
    <xf numFmtId="10" fontId="32" fillId="0" borderId="23" xfId="9" applyNumberFormat="1" applyFont="1" applyFill="1" applyBorder="1" applyAlignment="1">
      <alignment horizontal="center" vertical="center"/>
    </xf>
    <xf numFmtId="164" fontId="32" fillId="0" borderId="23" xfId="14" applyFont="1" applyFill="1" applyBorder="1" applyAlignment="1">
      <alignment horizontal="left" vertical="center"/>
    </xf>
    <xf numFmtId="168" fontId="32" fillId="0" borderId="23" xfId="9" applyNumberFormat="1" applyFont="1" applyFill="1" applyBorder="1" applyAlignment="1">
      <alignment horizontal="center"/>
    </xf>
    <xf numFmtId="164" fontId="32" fillId="0" borderId="23" xfId="14" applyFont="1" applyFill="1" applyBorder="1"/>
    <xf numFmtId="164" fontId="32" fillId="0" borderId="38" xfId="14" applyFont="1" applyFill="1" applyBorder="1"/>
    <xf numFmtId="0" fontId="31" fillId="0" borderId="5" xfId="13" quotePrefix="1" applyNumberFormat="1" applyFont="1" applyFill="1" applyBorder="1" applyAlignment="1">
      <alignment horizontal="left" vertical="center" wrapText="1"/>
    </xf>
    <xf numFmtId="164" fontId="32" fillId="0" borderId="5" xfId="14" applyFont="1" applyFill="1" applyBorder="1" applyAlignment="1">
      <alignment horizontal="center"/>
    </xf>
    <xf numFmtId="10" fontId="32" fillId="0" borderId="5" xfId="9" applyNumberFormat="1" applyFont="1" applyFill="1" applyBorder="1" applyAlignment="1">
      <alignment horizontal="center"/>
    </xf>
    <xf numFmtId="164" fontId="32" fillId="0" borderId="5" xfId="14" applyFont="1" applyFill="1" applyBorder="1" applyAlignment="1">
      <alignment horizontal="left"/>
    </xf>
    <xf numFmtId="0" fontId="31" fillId="0" borderId="31" xfId="13" quotePrefix="1" applyNumberFormat="1" applyFont="1" applyFill="1" applyBorder="1" applyAlignment="1">
      <alignment horizontal="center" vertical="center"/>
    </xf>
    <xf numFmtId="0" fontId="31" fillId="0" borderId="32" xfId="13" quotePrefix="1" applyNumberFormat="1" applyFont="1" applyFill="1" applyBorder="1" applyAlignment="1">
      <alignment horizontal="left" vertical="center" wrapText="1"/>
    </xf>
    <xf numFmtId="164" fontId="32" fillId="0" borderId="32" xfId="14" applyFont="1" applyFill="1" applyBorder="1" applyAlignment="1">
      <alignment horizontal="center" vertical="center"/>
    </xf>
    <xf numFmtId="10" fontId="32" fillId="0" borderId="32" xfId="9" applyNumberFormat="1" applyFont="1" applyFill="1" applyBorder="1" applyAlignment="1">
      <alignment horizontal="center" vertical="center"/>
    </xf>
    <xf numFmtId="164" fontId="32" fillId="0" borderId="32" xfId="14" applyFont="1" applyFill="1" applyBorder="1" applyAlignment="1">
      <alignment horizontal="left" vertical="center"/>
    </xf>
    <xf numFmtId="168" fontId="32" fillId="0" borderId="32" xfId="9" applyNumberFormat="1" applyFont="1" applyFill="1" applyBorder="1" applyAlignment="1">
      <alignment horizontal="center"/>
    </xf>
    <xf numFmtId="164" fontId="32" fillId="0" borderId="32" xfId="14" applyFont="1" applyFill="1" applyBorder="1"/>
    <xf numFmtId="164" fontId="32" fillId="0" borderId="33" xfId="14" applyFont="1" applyFill="1" applyBorder="1"/>
    <xf numFmtId="164" fontId="3" fillId="9" borderId="8" xfId="10" applyNumberFormat="1" applyFont="1" applyFill="1" applyBorder="1"/>
    <xf numFmtId="10" fontId="3" fillId="9" borderId="2" xfId="9" applyNumberFormat="1" applyFont="1" applyFill="1" applyBorder="1" applyAlignment="1">
      <alignment horizontal="center"/>
    </xf>
    <xf numFmtId="164" fontId="3" fillId="9" borderId="2" xfId="10" applyNumberFormat="1" applyFont="1" applyFill="1" applyBorder="1"/>
    <xf numFmtId="164" fontId="3" fillId="9" borderId="3" xfId="10" applyNumberFormat="1" applyFont="1" applyFill="1" applyBorder="1"/>
    <xf numFmtId="0" fontId="35" fillId="0" borderId="0" xfId="10" applyFont="1" applyFill="1"/>
    <xf numFmtId="164" fontId="3" fillId="9" borderId="40" xfId="14" applyFont="1" applyFill="1" applyBorder="1"/>
    <xf numFmtId="10" fontId="3" fillId="9" borderId="21" xfId="10" applyNumberFormat="1" applyFont="1" applyFill="1" applyBorder="1" applyAlignment="1">
      <alignment horizontal="center"/>
    </xf>
    <xf numFmtId="164" fontId="3" fillId="9" borderId="21" xfId="14" applyFont="1" applyFill="1" applyBorder="1"/>
    <xf numFmtId="164" fontId="3" fillId="9" borderId="22" xfId="14" applyFont="1" applyFill="1" applyBorder="1"/>
    <xf numFmtId="0" fontId="35" fillId="0" borderId="0" xfId="10" applyFont="1" applyFill="1" applyAlignment="1">
      <alignment horizontal="right"/>
    </xf>
    <xf numFmtId="43" fontId="33" fillId="0" borderId="0" xfId="10" applyNumberFormat="1" applyFont="1" applyFill="1" applyAlignment="1">
      <alignment horizontal="center"/>
    </xf>
    <xf numFmtId="0" fontId="32" fillId="0" borderId="12" xfId="10" applyFont="1" applyFill="1" applyBorder="1" applyAlignment="1">
      <alignment horizontal="center" vertical="center"/>
    </xf>
    <xf numFmtId="0" fontId="32" fillId="0" borderId="0" xfId="10" applyFont="1" applyFill="1" applyBorder="1"/>
    <xf numFmtId="164" fontId="32" fillId="0" borderId="0" xfId="14" applyFont="1" applyFill="1" applyBorder="1" applyAlignment="1">
      <alignment horizontal="center" vertical="center"/>
    </xf>
    <xf numFmtId="4" fontId="32" fillId="0" borderId="0" xfId="14" applyNumberFormat="1" applyFont="1" applyFill="1" applyBorder="1" applyAlignment="1">
      <alignment horizontal="center"/>
    </xf>
    <xf numFmtId="164" fontId="32" fillId="0" borderId="0" xfId="14" applyFont="1" applyFill="1" applyBorder="1" applyAlignment="1">
      <alignment horizontal="right"/>
    </xf>
    <xf numFmtId="9" fontId="32" fillId="0" borderId="0" xfId="10" applyNumberFormat="1" applyFont="1" applyFill="1" applyBorder="1" applyAlignment="1">
      <alignment horizontal="center"/>
    </xf>
    <xf numFmtId="0" fontId="32" fillId="0" borderId="13" xfId="10" applyFont="1" applyFill="1" applyBorder="1"/>
    <xf numFmtId="0" fontId="31" fillId="0" borderId="0" xfId="10" applyFont="1" applyFill="1" applyBorder="1"/>
    <xf numFmtId="9" fontId="31" fillId="0" borderId="0" xfId="10" applyNumberFormat="1" applyFont="1" applyFill="1" applyBorder="1" applyAlignment="1">
      <alignment horizontal="center"/>
    </xf>
    <xf numFmtId="0" fontId="31" fillId="0" borderId="13" xfId="10" applyFont="1" applyFill="1" applyBorder="1"/>
    <xf numFmtId="164" fontId="31" fillId="0" borderId="0" xfId="14" applyFont="1" applyFill="1" applyBorder="1" applyAlignment="1">
      <alignment horizontal="center" vertical="center"/>
    </xf>
    <xf numFmtId="164" fontId="31" fillId="0" borderId="0" xfId="10" applyNumberFormat="1" applyFont="1" applyFill="1" applyBorder="1"/>
    <xf numFmtId="164" fontId="31" fillId="0" borderId="13" xfId="10" applyNumberFormat="1" applyFont="1" applyFill="1" applyBorder="1"/>
    <xf numFmtId="0" fontId="32" fillId="0" borderId="14" xfId="10" applyFont="1" applyFill="1" applyBorder="1" applyAlignment="1">
      <alignment horizontal="center" vertical="center"/>
    </xf>
    <xf numFmtId="0" fontId="32" fillId="0" borderId="15" xfId="10" applyFont="1" applyFill="1" applyBorder="1"/>
    <xf numFmtId="164" fontId="32" fillId="0" borderId="15" xfId="14" applyFont="1" applyFill="1" applyBorder="1" applyAlignment="1">
      <alignment horizontal="center" vertical="center"/>
    </xf>
    <xf numFmtId="4" fontId="32" fillId="0" borderId="15" xfId="14" applyNumberFormat="1" applyFont="1" applyFill="1" applyBorder="1" applyAlignment="1">
      <alignment horizontal="center"/>
    </xf>
    <xf numFmtId="164" fontId="32" fillId="0" borderId="15" xfId="14" applyFont="1" applyFill="1" applyBorder="1" applyAlignment="1">
      <alignment horizontal="right"/>
    </xf>
    <xf numFmtId="9" fontId="32" fillId="0" borderId="15" xfId="10" applyNumberFormat="1" applyFont="1" applyFill="1" applyBorder="1" applyAlignment="1">
      <alignment horizontal="center"/>
    </xf>
    <xf numFmtId="0" fontId="32" fillId="0" borderId="16" xfId="10" applyFont="1" applyFill="1" applyBorder="1"/>
    <xf numFmtId="0" fontId="32" fillId="0" borderId="0" xfId="10" applyFont="1" applyFill="1" applyAlignment="1">
      <alignment horizontal="center" vertical="center"/>
    </xf>
    <xf numFmtId="0" fontId="32" fillId="0" borderId="0" xfId="10" applyFont="1" applyFill="1"/>
    <xf numFmtId="164" fontId="32" fillId="0" borderId="0" xfId="14" applyFont="1" applyFill="1" applyAlignment="1">
      <alignment horizontal="center" vertical="center"/>
    </xf>
    <xf numFmtId="4" fontId="32" fillId="0" borderId="0" xfId="14" applyNumberFormat="1" applyFont="1" applyFill="1" applyAlignment="1">
      <alignment horizontal="center"/>
    </xf>
    <xf numFmtId="164" fontId="32" fillId="0" borderId="0" xfId="14" applyFont="1" applyFill="1" applyAlignment="1">
      <alignment horizontal="right"/>
    </xf>
    <xf numFmtId="9" fontId="32" fillId="0" borderId="0" xfId="10" applyNumberFormat="1" applyFont="1" applyFill="1" applyAlignment="1">
      <alignment horizontal="center"/>
    </xf>
    <xf numFmtId="0" fontId="26" fillId="0" borderId="12" xfId="12" applyNumberFormat="1" applyFont="1" applyFill="1" applyBorder="1" applyAlignment="1" applyProtection="1">
      <alignment vertical="center"/>
      <protection locked="0"/>
    </xf>
    <xf numFmtId="0" fontId="13" fillId="0" borderId="0" xfId="12" applyNumberFormat="1" applyFont="1" applyFill="1" applyBorder="1" applyAlignment="1" applyProtection="1">
      <alignment vertical="center"/>
      <protection locked="0"/>
    </xf>
    <xf numFmtId="49" fontId="25" fillId="0" borderId="0" xfId="11" applyNumberFormat="1" applyFont="1" applyFill="1" applyBorder="1" applyAlignment="1" applyProtection="1">
      <alignment horizontal="center" vertical="center"/>
      <protection locked="0"/>
    </xf>
    <xf numFmtId="49" fontId="10" fillId="0" borderId="0" xfId="11" applyNumberFormat="1" applyFont="1" applyFill="1" applyBorder="1" applyAlignment="1" applyProtection="1">
      <alignment horizontal="center" wrapText="1"/>
      <protection locked="0"/>
    </xf>
    <xf numFmtId="39" fontId="10" fillId="0" borderId="0" xfId="4" applyNumberFormat="1" applyFont="1" applyFill="1" applyBorder="1" applyAlignment="1" applyProtection="1">
      <alignment wrapText="1"/>
      <protection locked="0"/>
    </xf>
    <xf numFmtId="167" fontId="13" fillId="0" borderId="0" xfId="4" applyNumberFormat="1" applyFont="1" applyFill="1" applyBorder="1" applyAlignment="1" applyProtection="1">
      <alignment horizontal="center" wrapText="1"/>
      <protection locked="0"/>
    </xf>
    <xf numFmtId="0" fontId="32" fillId="8" borderId="26" xfId="10" applyFont="1" applyFill="1" applyBorder="1" applyAlignment="1">
      <alignment horizontal="center" vertical="center"/>
    </xf>
    <xf numFmtId="0" fontId="32" fillId="8" borderId="27" xfId="10" applyFont="1" applyFill="1" applyBorder="1"/>
    <xf numFmtId="164" fontId="32" fillId="8" borderId="27" xfId="14" applyFont="1" applyFill="1" applyBorder="1" applyAlignment="1">
      <alignment horizontal="center" vertical="center"/>
    </xf>
    <xf numFmtId="4" fontId="32" fillId="8" borderId="27" xfId="14" applyNumberFormat="1" applyFont="1" applyFill="1" applyBorder="1" applyAlignment="1">
      <alignment horizontal="center"/>
    </xf>
    <xf numFmtId="164" fontId="32" fillId="8" borderId="27" xfId="14" applyFont="1" applyFill="1" applyBorder="1" applyAlignment="1">
      <alignment horizontal="right"/>
    </xf>
    <xf numFmtId="9" fontId="32" fillId="8" borderId="27" xfId="10" applyNumberFormat="1" applyFont="1" applyFill="1" applyBorder="1" applyAlignment="1">
      <alignment horizontal="center"/>
    </xf>
    <xf numFmtId="0" fontId="32" fillId="8" borderId="29" xfId="10" applyFont="1" applyFill="1" applyBorder="1"/>
    <xf numFmtId="0" fontId="32" fillId="0" borderId="9" xfId="10" applyFont="1" applyFill="1" applyBorder="1" applyAlignment="1">
      <alignment horizontal="center" vertical="center"/>
    </xf>
    <xf numFmtId="0" fontId="32" fillId="0" borderId="10" xfId="10" applyFont="1" applyFill="1" applyBorder="1"/>
    <xf numFmtId="164" fontId="32" fillId="0" borderId="10" xfId="14" applyFont="1" applyFill="1" applyBorder="1" applyAlignment="1">
      <alignment horizontal="center" vertical="center"/>
    </xf>
    <xf numFmtId="4" fontId="32" fillId="0" borderId="10" xfId="14" applyNumberFormat="1" applyFont="1" applyFill="1" applyBorder="1" applyAlignment="1">
      <alignment horizontal="center"/>
    </xf>
    <xf numFmtId="164" fontId="32" fillId="0" borderId="10" xfId="14" applyFont="1" applyFill="1" applyBorder="1" applyAlignment="1">
      <alignment horizontal="right"/>
    </xf>
    <xf numFmtId="9" fontId="32" fillId="0" borderId="10" xfId="10" applyNumberFormat="1" applyFont="1" applyFill="1" applyBorder="1" applyAlignment="1">
      <alignment horizontal="center"/>
    </xf>
    <xf numFmtId="0" fontId="32" fillId="0" borderId="11" xfId="10" applyFont="1" applyFill="1" applyBorder="1"/>
    <xf numFmtId="0" fontId="13" fillId="0" borderId="12" xfId="12" applyNumberFormat="1" applyFont="1" applyFill="1" applyBorder="1" applyAlignment="1" applyProtection="1">
      <alignment vertical="center"/>
      <protection locked="0"/>
    </xf>
    <xf numFmtId="10" fontId="32" fillId="0" borderId="0" xfId="14" applyNumberFormat="1" applyFont="1" applyFill="1" applyAlignment="1">
      <alignment horizontal="center" vertical="center"/>
    </xf>
    <xf numFmtId="0" fontId="23" fillId="0" borderId="0" xfId="10" applyFont="1" applyFill="1" applyAlignment="1">
      <alignment horizontal="center" vertical="center"/>
    </xf>
    <xf numFmtId="164" fontId="23" fillId="0" borderId="0" xfId="14" applyFont="1" applyFill="1" applyAlignment="1">
      <alignment horizontal="center" vertical="center"/>
    </xf>
    <xf numFmtId="4" fontId="23" fillId="0" borderId="0" xfId="14" applyNumberFormat="1" applyFont="1" applyFill="1" applyAlignment="1">
      <alignment horizontal="center"/>
    </xf>
    <xf numFmtId="164" fontId="23" fillId="0" borderId="0" xfId="14" applyFont="1" applyFill="1" applyAlignment="1">
      <alignment horizontal="right"/>
    </xf>
    <xf numFmtId="164" fontId="37" fillId="0" borderId="10" xfId="14" applyFont="1" applyBorder="1" applyAlignment="1"/>
    <xf numFmtId="10" fontId="38" fillId="0" borderId="10" xfId="9" applyNumberFormat="1" applyFont="1" applyBorder="1" applyAlignment="1"/>
    <xf numFmtId="0" fontId="39" fillId="0" borderId="11" xfId="16" applyBorder="1"/>
    <xf numFmtId="0" fontId="40" fillId="0" borderId="0" xfId="17" applyFont="1"/>
    <xf numFmtId="166" fontId="41" fillId="0" borderId="0" xfId="7" applyNumberFormat="1" applyFont="1" applyFill="1" applyBorder="1" applyAlignment="1" applyProtection="1">
      <alignment horizontal="center" vertical="center" wrapText="1"/>
      <protection locked="0"/>
    </xf>
    <xf numFmtId="10" fontId="38" fillId="0" borderId="0" xfId="9" applyNumberFormat="1" applyFont="1" applyBorder="1" applyAlignment="1"/>
    <xf numFmtId="0" fontId="39" fillId="0" borderId="13" xfId="16" applyBorder="1"/>
    <xf numFmtId="164" fontId="37" fillId="0" borderId="0" xfId="14" applyFont="1" applyBorder="1" applyAlignment="1"/>
    <xf numFmtId="49" fontId="15" fillId="0" borderId="12" xfId="11" applyNumberFormat="1" applyFont="1" applyFill="1" applyBorder="1" applyAlignment="1" applyProtection="1">
      <alignment horizontal="left" vertical="center" wrapText="1"/>
      <protection locked="0"/>
    </xf>
    <xf numFmtId="49" fontId="15" fillId="0" borderId="0" xfId="11" applyNumberFormat="1" applyFont="1" applyFill="1" applyBorder="1" applyAlignment="1" applyProtection="1">
      <alignment horizontal="left" vertical="center" wrapText="1"/>
      <protection locked="0"/>
    </xf>
    <xf numFmtId="0" fontId="10" fillId="0" borderId="15" xfId="12" applyNumberFormat="1" applyFont="1" applyFill="1" applyBorder="1" applyAlignment="1" applyProtection="1">
      <alignment vertical="center"/>
      <protection locked="0"/>
    </xf>
    <xf numFmtId="10" fontId="38" fillId="0" borderId="15" xfId="9" applyNumberFormat="1" applyFont="1" applyBorder="1" applyAlignment="1"/>
    <xf numFmtId="0" fontId="39" fillId="0" borderId="16" xfId="16" applyBorder="1"/>
    <xf numFmtId="0" fontId="43" fillId="4" borderId="0" xfId="17" applyFont="1" applyFill="1" applyBorder="1" applyAlignment="1">
      <alignment vertical="center"/>
    </xf>
    <xf numFmtId="0" fontId="43" fillId="4" borderId="9" xfId="17" applyFont="1" applyFill="1" applyBorder="1" applyAlignment="1">
      <alignment vertical="center"/>
    </xf>
    <xf numFmtId="0" fontId="40" fillId="4" borderId="11" xfId="17" applyFont="1" applyFill="1" applyBorder="1" applyAlignment="1">
      <alignment vertical="center"/>
    </xf>
    <xf numFmtId="0" fontId="40" fillId="0" borderId="0" xfId="17" applyFont="1" applyFill="1" applyBorder="1" applyAlignment="1">
      <alignment horizontal="left" vertical="center"/>
    </xf>
    <xf numFmtId="0" fontId="40" fillId="0" borderId="0" xfId="17" applyFont="1" applyFill="1" applyBorder="1" applyAlignment="1">
      <alignment vertical="center"/>
    </xf>
    <xf numFmtId="0" fontId="44" fillId="0" borderId="0" xfId="17" applyFont="1" applyFill="1" applyBorder="1" applyAlignment="1">
      <alignment vertical="center"/>
    </xf>
    <xf numFmtId="0" fontId="45" fillId="0" borderId="0" xfId="17" applyFont="1" applyFill="1" applyBorder="1" applyAlignment="1">
      <alignment horizontal="right" vertical="center"/>
    </xf>
    <xf numFmtId="0" fontId="45" fillId="0" borderId="0" xfId="17" applyFont="1" applyFill="1" applyBorder="1" applyAlignment="1">
      <alignment horizontal="left" vertical="center"/>
    </xf>
    <xf numFmtId="0" fontId="40" fillId="0" borderId="0" xfId="17" applyFont="1" applyFill="1" applyAlignment="1">
      <alignment vertical="center"/>
    </xf>
    <xf numFmtId="0" fontId="3" fillId="0" borderId="0" xfId="17" applyFont="1" applyFill="1" applyAlignment="1">
      <alignment vertical="center"/>
    </xf>
    <xf numFmtId="0" fontId="40" fillId="4" borderId="0" xfId="17" applyFont="1" applyFill="1" applyAlignment="1">
      <alignment vertical="center"/>
    </xf>
    <xf numFmtId="0" fontId="43" fillId="4" borderId="12" xfId="17" applyFont="1" applyFill="1" applyBorder="1" applyAlignment="1">
      <alignment vertical="center"/>
    </xf>
    <xf numFmtId="0" fontId="40" fillId="4" borderId="13" xfId="17" applyFont="1" applyFill="1" applyBorder="1" applyAlignment="1">
      <alignment vertical="center"/>
    </xf>
    <xf numFmtId="0" fontId="47" fillId="10" borderId="12" xfId="17" applyFont="1" applyFill="1" applyBorder="1" applyAlignment="1">
      <alignment vertical="center"/>
    </xf>
    <xf numFmtId="0" fontId="29" fillId="10" borderId="0" xfId="17" applyFont="1" applyFill="1" applyBorder="1" applyAlignment="1">
      <alignment vertical="center"/>
    </xf>
    <xf numFmtId="0" fontId="29" fillId="10" borderId="13" xfId="17" applyFont="1" applyFill="1" applyBorder="1" applyAlignment="1">
      <alignment horizontal="left" vertical="center"/>
    </xf>
    <xf numFmtId="0" fontId="40" fillId="4" borderId="0" xfId="17" applyFont="1" applyFill="1" applyBorder="1" applyAlignment="1">
      <alignment vertical="center"/>
    </xf>
    <xf numFmtId="0" fontId="40" fillId="4" borderId="12" xfId="17" applyFont="1" applyFill="1" applyBorder="1" applyAlignment="1">
      <alignment vertical="center"/>
    </xf>
    <xf numFmtId="14" fontId="3" fillId="10" borderId="39" xfId="17" quotePrefix="1" applyNumberFormat="1" applyFont="1" applyFill="1" applyBorder="1" applyAlignment="1">
      <alignment horizontal="center" vertical="center"/>
    </xf>
    <xf numFmtId="0" fontId="44" fillId="4" borderId="0" xfId="17" applyFont="1" applyFill="1" applyBorder="1" applyAlignment="1">
      <alignment vertical="center"/>
    </xf>
    <xf numFmtId="0" fontId="44" fillId="4" borderId="12" xfId="17" applyFont="1" applyFill="1" applyBorder="1" applyAlignment="1">
      <alignment vertical="center"/>
    </xf>
    <xf numFmtId="0" fontId="48" fillId="4" borderId="13" xfId="17" applyFont="1" applyFill="1" applyBorder="1" applyAlignment="1">
      <alignment vertical="center"/>
    </xf>
    <xf numFmtId="0" fontId="47" fillId="0" borderId="0" xfId="17" applyFont="1" applyFill="1" applyBorder="1" applyAlignment="1">
      <alignment horizontal="right" vertical="center"/>
    </xf>
    <xf numFmtId="0" fontId="50" fillId="0" borderId="0" xfId="17" applyFont="1" applyFill="1" applyBorder="1" applyAlignment="1">
      <alignment horizontal="right" vertical="center"/>
    </xf>
    <xf numFmtId="4" fontId="51" fillId="0" borderId="0" xfId="17" applyNumberFormat="1" applyFont="1" applyFill="1" applyBorder="1" applyAlignment="1">
      <alignment horizontal="right" vertical="center"/>
    </xf>
    <xf numFmtId="49" fontId="3" fillId="0" borderId="0" xfId="17" applyNumberFormat="1" applyFont="1" applyFill="1" applyBorder="1" applyAlignment="1">
      <alignment vertical="center"/>
    </xf>
    <xf numFmtId="49" fontId="40" fillId="0" borderId="0" xfId="17" applyNumberFormat="1" applyFont="1" applyFill="1" applyBorder="1" applyAlignment="1">
      <alignment vertical="center"/>
    </xf>
    <xf numFmtId="49" fontId="47" fillId="0" borderId="0" xfId="17" applyNumberFormat="1" applyFont="1" applyFill="1" applyBorder="1" applyAlignment="1">
      <alignment horizontal="left" vertical="center"/>
    </xf>
    <xf numFmtId="49" fontId="47" fillId="0" borderId="0" xfId="17" applyNumberFormat="1" applyFont="1" applyFill="1" applyBorder="1" applyAlignment="1">
      <alignment horizontal="center" vertical="center"/>
    </xf>
    <xf numFmtId="0" fontId="47" fillId="0" borderId="0" xfId="17" applyFont="1" applyFill="1" applyBorder="1" applyAlignment="1">
      <alignment horizontal="center" vertical="center"/>
    </xf>
    <xf numFmtId="4" fontId="52" fillId="0" borderId="0" xfId="17" applyNumberFormat="1" applyFont="1" applyFill="1" applyBorder="1" applyAlignment="1">
      <alignment vertical="center"/>
    </xf>
    <xf numFmtId="0" fontId="47" fillId="10" borderId="26" xfId="17" applyFont="1" applyFill="1" applyBorder="1" applyAlignment="1">
      <alignment vertical="center"/>
    </xf>
    <xf numFmtId="0" fontId="3" fillId="10" borderId="29" xfId="17" applyFont="1" applyFill="1" applyBorder="1" applyAlignment="1">
      <alignment vertical="center"/>
    </xf>
    <xf numFmtId="49" fontId="47" fillId="10" borderId="39" xfId="17" applyNumberFormat="1" applyFont="1" applyFill="1" applyBorder="1" applyAlignment="1">
      <alignment horizontal="center" vertical="center"/>
    </xf>
    <xf numFmtId="0" fontId="53" fillId="4" borderId="0" xfId="17" applyFont="1" applyFill="1" applyBorder="1" applyAlignment="1">
      <alignment vertical="center"/>
    </xf>
    <xf numFmtId="0" fontId="53" fillId="4" borderId="14" xfId="17" applyFont="1" applyFill="1" applyBorder="1" applyAlignment="1">
      <alignment vertical="center"/>
    </xf>
    <xf numFmtId="0" fontId="48" fillId="4" borderId="16" xfId="17" applyFont="1" applyFill="1" applyBorder="1" applyAlignment="1">
      <alignment vertical="center"/>
    </xf>
    <xf numFmtId="49" fontId="3" fillId="0" borderId="0" xfId="17" applyNumberFormat="1" applyFont="1" applyFill="1" applyBorder="1" applyAlignment="1">
      <alignment horizontal="left" vertical="center"/>
    </xf>
    <xf numFmtId="49" fontId="3" fillId="0" borderId="0" xfId="17" applyNumberFormat="1" applyFont="1" applyFill="1" applyBorder="1" applyAlignment="1">
      <alignment horizontal="center" vertical="center"/>
    </xf>
    <xf numFmtId="0" fontId="40" fillId="0" borderId="0" xfId="17" applyFont="1" applyFill="1" applyBorder="1" applyAlignment="1">
      <alignment horizontal="center" vertical="center"/>
    </xf>
    <xf numFmtId="4" fontId="54" fillId="0" borderId="0" xfId="17" applyNumberFormat="1" applyFont="1" applyFill="1" applyBorder="1" applyAlignment="1">
      <alignment vertical="center"/>
    </xf>
    <xf numFmtId="4" fontId="55" fillId="0" borderId="0" xfId="17" applyNumberFormat="1" applyFont="1"/>
    <xf numFmtId="0" fontId="55" fillId="0" borderId="0" xfId="17" applyFont="1"/>
    <xf numFmtId="49" fontId="57" fillId="4" borderId="12" xfId="17" applyNumberFormat="1" applyFont="1" applyFill="1" applyBorder="1" applyAlignment="1">
      <alignment horizontal="center" vertical="center"/>
    </xf>
    <xf numFmtId="49" fontId="57" fillId="4" borderId="0" xfId="17" applyNumberFormat="1" applyFont="1" applyFill="1" applyBorder="1" applyAlignment="1">
      <alignment horizontal="center" vertical="center"/>
    </xf>
    <xf numFmtId="0" fontId="40" fillId="0" borderId="0" xfId="17" applyFont="1" applyBorder="1"/>
    <xf numFmtId="0" fontId="40" fillId="0" borderId="13" xfId="17" applyFont="1" applyBorder="1"/>
    <xf numFmtId="0" fontId="50" fillId="4" borderId="0" xfId="17" applyFont="1" applyFill="1" applyBorder="1" applyAlignment="1">
      <alignment horizontal="center" vertical="center"/>
    </xf>
    <xf numFmtId="0" fontId="42" fillId="0" borderId="0" xfId="2" applyFont="1" applyBorder="1"/>
    <xf numFmtId="164" fontId="19" fillId="0" borderId="0" xfId="14" applyFont="1" applyBorder="1" applyAlignment="1">
      <alignment horizontal="center"/>
    </xf>
    <xf numFmtId="4" fontId="19" fillId="0" borderId="0" xfId="14" applyNumberFormat="1" applyFont="1" applyBorder="1" applyAlignment="1">
      <alignment horizontal="center"/>
    </xf>
    <xf numFmtId="164" fontId="19" fillId="0" borderId="0" xfId="14" applyFont="1" applyBorder="1" applyAlignment="1"/>
    <xf numFmtId="0" fontId="50" fillId="0" borderId="20" xfId="17" applyFont="1" applyFill="1" applyBorder="1" applyAlignment="1">
      <alignment horizontal="center" vertical="center"/>
    </xf>
    <xf numFmtId="0" fontId="50" fillId="0" borderId="22" xfId="17" applyFont="1" applyFill="1" applyBorder="1" applyAlignment="1">
      <alignment horizontal="center" vertical="center"/>
    </xf>
    <xf numFmtId="0" fontId="3" fillId="0" borderId="0" xfId="17" applyFont="1" applyBorder="1" applyAlignment="1">
      <alignment vertical="center"/>
    </xf>
    <xf numFmtId="170" fontId="58" fillId="0" borderId="0" xfId="2" applyNumberFormat="1" applyFont="1" applyBorder="1"/>
    <xf numFmtId="0" fontId="58" fillId="0" borderId="0" xfId="2" applyFont="1" applyBorder="1"/>
    <xf numFmtId="164" fontId="47" fillId="0" borderId="34" xfId="17" applyNumberFormat="1" applyFont="1" applyFill="1" applyBorder="1" applyAlignment="1">
      <alignment horizontal="center" vertical="center" wrapText="1"/>
    </xf>
    <xf numFmtId="0" fontId="47" fillId="0" borderId="0" xfId="17" applyFont="1" applyFill="1" applyBorder="1" applyAlignment="1">
      <alignment horizontal="justify" vertical="center" wrapText="1"/>
    </xf>
    <xf numFmtId="0" fontId="47" fillId="0" borderId="34" xfId="17" applyFont="1" applyFill="1" applyBorder="1" applyAlignment="1">
      <alignment horizontal="justify" vertical="center" wrapText="1"/>
    </xf>
    <xf numFmtId="0" fontId="40" fillId="0" borderId="24" xfId="17" applyFont="1" applyBorder="1"/>
    <xf numFmtId="0" fontId="58" fillId="0" borderId="0" xfId="2" applyFont="1" applyBorder="1" applyAlignment="1">
      <alignment horizontal="center"/>
    </xf>
    <xf numFmtId="0" fontId="3" fillId="0" borderId="1" xfId="17" applyFont="1" applyBorder="1" applyAlignment="1">
      <alignment horizontal="center" vertical="center"/>
    </xf>
    <xf numFmtId="0" fontId="3" fillId="0" borderId="2" xfId="17" applyFont="1" applyFill="1" applyBorder="1" applyAlignment="1">
      <alignment vertical="center"/>
    </xf>
    <xf numFmtId="10" fontId="3" fillId="11" borderId="3" xfId="18" applyNumberFormat="1" applyFont="1" applyFill="1" applyBorder="1" applyAlignment="1" applyProtection="1">
      <alignment horizontal="center" vertical="center"/>
      <protection locked="0"/>
    </xf>
    <xf numFmtId="10" fontId="3" fillId="0" borderId="0" xfId="18" applyNumberFormat="1" applyFont="1" applyBorder="1" applyAlignment="1">
      <alignment horizontal="center" vertical="center"/>
    </xf>
    <xf numFmtId="10" fontId="3" fillId="0" borderId="1" xfId="18" applyNumberFormat="1" applyFont="1" applyBorder="1" applyAlignment="1">
      <alignment horizontal="center" vertical="center"/>
    </xf>
    <xf numFmtId="10" fontId="3" fillId="0" borderId="3" xfId="18" applyNumberFormat="1" applyFont="1" applyBorder="1" applyAlignment="1">
      <alignment horizontal="center" vertical="center"/>
    </xf>
    <xf numFmtId="170" fontId="58" fillId="0" borderId="0" xfId="2" applyNumberFormat="1" applyFont="1" applyBorder="1" applyAlignment="1">
      <alignment horizontal="right"/>
    </xf>
    <xf numFmtId="4" fontId="60" fillId="0" borderId="0" xfId="14" applyNumberFormat="1" applyFont="1" applyFill="1" applyBorder="1" applyAlignment="1">
      <alignment horizontal="center" vertical="center"/>
    </xf>
    <xf numFmtId="0" fontId="3" fillId="0" borderId="0" xfId="2" applyFont="1" applyBorder="1" applyAlignment="1">
      <alignment horizontal="right"/>
    </xf>
    <xf numFmtId="171" fontId="60" fillId="0" borderId="0" xfId="14" applyNumberFormat="1" applyFont="1" applyFill="1" applyBorder="1" applyAlignment="1">
      <alignment horizontal="center"/>
    </xf>
    <xf numFmtId="0" fontId="60" fillId="0" borderId="0" xfId="2" applyFont="1" applyBorder="1" applyAlignment="1">
      <alignment horizontal="right"/>
    </xf>
    <xf numFmtId="10" fontId="47" fillId="0" borderId="22" xfId="18" applyNumberFormat="1" applyFont="1" applyBorder="1" applyAlignment="1">
      <alignment horizontal="center" vertical="center"/>
    </xf>
    <xf numFmtId="10" fontId="47" fillId="0" borderId="0" xfId="18" applyNumberFormat="1" applyFont="1" applyBorder="1" applyAlignment="1">
      <alignment horizontal="center" vertical="center"/>
    </xf>
    <xf numFmtId="10" fontId="3" fillId="0" borderId="20" xfId="18" applyNumberFormat="1" applyFont="1" applyBorder="1" applyAlignment="1">
      <alignment horizontal="center" vertical="center"/>
    </xf>
    <xf numFmtId="10" fontId="3" fillId="0" borderId="22" xfId="18" applyNumberFormat="1" applyFont="1" applyBorder="1" applyAlignment="1">
      <alignment horizontal="center" vertical="center"/>
    </xf>
    <xf numFmtId="0" fontId="3" fillId="0" borderId="0" xfId="17" applyFont="1" applyBorder="1" applyAlignment="1">
      <alignment horizontal="center" vertical="center"/>
    </xf>
    <xf numFmtId="10" fontId="3" fillId="0" borderId="13" xfId="18" applyNumberFormat="1" applyFont="1" applyBorder="1" applyAlignment="1">
      <alignment horizontal="center" vertical="center"/>
    </xf>
    <xf numFmtId="0" fontId="58" fillId="0" borderId="0" xfId="2" applyFont="1" applyBorder="1" applyAlignment="1">
      <alignment horizontal="right"/>
    </xf>
    <xf numFmtId="4" fontId="58" fillId="0" borderId="0" xfId="9" applyNumberFormat="1" applyFont="1" applyFill="1" applyBorder="1" applyAlignment="1">
      <alignment horizontal="center"/>
    </xf>
    <xf numFmtId="10" fontId="3" fillId="0" borderId="34" xfId="18" applyNumberFormat="1" applyFont="1" applyBorder="1" applyAlignment="1">
      <alignment horizontal="center" vertical="center"/>
    </xf>
    <xf numFmtId="10" fontId="3" fillId="0" borderId="24" xfId="18" applyNumberFormat="1" applyFont="1" applyBorder="1" applyAlignment="1">
      <alignment horizontal="center" vertical="center"/>
    </xf>
    <xf numFmtId="10" fontId="58" fillId="0" borderId="0" xfId="9" applyNumberFormat="1" applyFont="1" applyFill="1" applyBorder="1" applyAlignment="1">
      <alignment horizontal="center"/>
    </xf>
    <xf numFmtId="0" fontId="42" fillId="0" borderId="0" xfId="2" applyFont="1" applyBorder="1" applyAlignment="1">
      <alignment vertical="justify"/>
    </xf>
    <xf numFmtId="10" fontId="47" fillId="0" borderId="0" xfId="18" applyNumberFormat="1" applyFont="1" applyBorder="1" applyAlignment="1">
      <alignment horizontal="center" vertical="center" wrapText="1"/>
    </xf>
    <xf numFmtId="170" fontId="62" fillId="0" borderId="0" xfId="2" applyNumberFormat="1" applyFont="1" applyBorder="1" applyAlignment="1">
      <alignment horizontal="right"/>
    </xf>
    <xf numFmtId="10" fontId="42" fillId="0" borderId="0" xfId="9" applyNumberFormat="1" applyFont="1" applyFill="1" applyBorder="1" applyAlignment="1">
      <alignment horizontal="center"/>
    </xf>
    <xf numFmtId="10" fontId="3" fillId="0" borderId="36" xfId="18" applyNumberFormat="1" applyFont="1" applyBorder="1" applyAlignment="1">
      <alignment horizontal="center" vertical="center"/>
    </xf>
    <xf numFmtId="10" fontId="3" fillId="0" borderId="39" xfId="18" applyNumberFormat="1" applyFont="1" applyBorder="1" applyAlignment="1">
      <alignment horizontal="center" vertical="center"/>
    </xf>
    <xf numFmtId="0" fontId="18" fillId="0" borderId="0" xfId="2" applyFont="1" applyBorder="1" applyAlignment="1">
      <alignment vertical="distributed" wrapText="1"/>
    </xf>
    <xf numFmtId="164" fontId="18" fillId="0" borderId="0" xfId="14" applyFont="1" applyBorder="1" applyAlignment="1">
      <alignment horizontal="center"/>
    </xf>
    <xf numFmtId="4" fontId="18" fillId="0" borderId="0" xfId="14" applyNumberFormat="1" applyFont="1" applyBorder="1" applyAlignment="1">
      <alignment horizontal="center"/>
    </xf>
    <xf numFmtId="164" fontId="18" fillId="0" borderId="0" xfId="14" applyFont="1" applyBorder="1" applyAlignment="1"/>
    <xf numFmtId="0" fontId="3" fillId="0" borderId="31" xfId="17" applyFont="1" applyBorder="1" applyAlignment="1">
      <alignment horizontal="center" vertical="center"/>
    </xf>
    <xf numFmtId="0" fontId="3" fillId="0" borderId="32" xfId="17" applyFont="1" applyFill="1" applyBorder="1" applyAlignment="1">
      <alignment vertical="center"/>
    </xf>
    <xf numFmtId="10" fontId="3" fillId="11" borderId="33" xfId="18" applyNumberFormat="1" applyFont="1" applyFill="1" applyBorder="1" applyAlignment="1" applyProtection="1">
      <alignment horizontal="center" vertical="center"/>
      <protection locked="0"/>
    </xf>
    <xf numFmtId="0" fontId="3" fillId="0" borderId="0" xfId="17" applyFont="1" applyFill="1" applyBorder="1" applyAlignment="1">
      <alignment horizontal="center" vertical="center"/>
    </xf>
    <xf numFmtId="164" fontId="47" fillId="0" borderId="12" xfId="17" applyNumberFormat="1" applyFont="1" applyFill="1" applyBorder="1" applyAlignment="1">
      <alignment horizontal="center" vertical="center" wrapText="1"/>
    </xf>
    <xf numFmtId="164" fontId="3" fillId="0" borderId="0" xfId="17" applyNumberFormat="1" applyFont="1" applyBorder="1" applyAlignment="1">
      <alignment vertical="center"/>
    </xf>
    <xf numFmtId="0" fontId="3" fillId="0" borderId="12" xfId="17" applyFont="1" applyFill="1" applyBorder="1" applyAlignment="1">
      <alignment horizontal="center" vertical="center"/>
    </xf>
    <xf numFmtId="0" fontId="3" fillId="0" borderId="12" xfId="17" applyFont="1" applyFill="1" applyBorder="1" applyAlignment="1">
      <alignment horizontal="right" vertical="center"/>
    </xf>
    <xf numFmtId="0" fontId="3" fillId="0" borderId="0" xfId="17" applyFont="1" applyFill="1" applyBorder="1" applyAlignment="1">
      <alignment horizontal="right" vertical="center"/>
    </xf>
    <xf numFmtId="165" fontId="63" fillId="0" borderId="0" xfId="18" applyNumberFormat="1" applyFont="1" applyBorder="1" applyAlignment="1">
      <alignment vertical="center"/>
    </xf>
    <xf numFmtId="10" fontId="62" fillId="0" borderId="0" xfId="17" applyNumberFormat="1" applyFont="1" applyFill="1" applyBorder="1" applyAlignment="1">
      <alignment vertical="center"/>
    </xf>
    <xf numFmtId="10" fontId="3" fillId="0" borderId="39" xfId="17" applyNumberFormat="1" applyFont="1" applyFill="1" applyBorder="1" applyAlignment="1">
      <alignment horizontal="center" vertical="center"/>
    </xf>
    <xf numFmtId="10" fontId="62" fillId="0" borderId="15" xfId="17" applyNumberFormat="1" applyFont="1" applyFill="1" applyBorder="1" applyAlignment="1">
      <alignment vertical="center"/>
    </xf>
    <xf numFmtId="0" fontId="40" fillId="0" borderId="15" xfId="17" applyFont="1" applyBorder="1"/>
    <xf numFmtId="0" fontId="40" fillId="0" borderId="16" xfId="17" applyFont="1" applyBorder="1"/>
    <xf numFmtId="0" fontId="64" fillId="11" borderId="0" xfId="17" applyFont="1" applyFill="1" applyAlignment="1">
      <alignment horizontal="center" vertical="center"/>
    </xf>
    <xf numFmtId="0" fontId="65" fillId="0" borderId="0" xfId="17" applyFont="1"/>
    <xf numFmtId="0" fontId="40" fillId="0" borderId="0" xfId="17" applyFont="1" applyAlignment="1">
      <alignment horizontal="center" vertical="center"/>
    </xf>
    <xf numFmtId="0" fontId="3" fillId="0" borderId="0" xfId="2" applyFill="1" applyBorder="1"/>
    <xf numFmtId="0" fontId="3" fillId="0" borderId="0" xfId="2"/>
    <xf numFmtId="0" fontId="10" fillId="0" borderId="0" xfId="12" applyNumberFormat="1" applyFont="1" applyFill="1" applyBorder="1" applyAlignment="1" applyProtection="1">
      <alignment vertical="center"/>
      <protection locked="0"/>
    </xf>
    <xf numFmtId="0" fontId="67" fillId="0" borderId="0" xfId="2" applyFont="1" applyAlignment="1"/>
    <xf numFmtId="2" fontId="3" fillId="0" borderId="35" xfId="14" applyNumberFormat="1" applyFont="1" applyFill="1" applyBorder="1" applyAlignment="1">
      <alignment horizontal="center" vertical="center"/>
    </xf>
    <xf numFmtId="2" fontId="3" fillId="0" borderId="24" xfId="14" applyNumberFormat="1" applyFont="1" applyFill="1" applyBorder="1" applyAlignment="1">
      <alignment horizontal="center" vertical="center"/>
    </xf>
    <xf numFmtId="164" fontId="0" fillId="0" borderId="0" xfId="14" applyFont="1"/>
    <xf numFmtId="2" fontId="3" fillId="0" borderId="2" xfId="14" applyNumberFormat="1" applyFont="1" applyFill="1" applyBorder="1" applyAlignment="1">
      <alignment horizontal="center" vertical="center"/>
    </xf>
    <xf numFmtId="2" fontId="3" fillId="0" borderId="3" xfId="14" applyNumberFormat="1" applyFont="1" applyFill="1" applyBorder="1" applyAlignment="1">
      <alignment horizontal="center" vertical="center"/>
    </xf>
    <xf numFmtId="2" fontId="3" fillId="0" borderId="21" xfId="14" applyNumberFormat="1" applyFont="1" applyFill="1" applyBorder="1" applyAlignment="1">
      <alignment horizontal="center" vertical="center"/>
    </xf>
    <xf numFmtId="2" fontId="3" fillId="0" borderId="22" xfId="14" applyNumberFormat="1" applyFont="1" applyFill="1" applyBorder="1" applyAlignment="1">
      <alignment horizontal="center" vertical="center"/>
    </xf>
    <xf numFmtId="2" fontId="62" fillId="0" borderId="15" xfId="14" applyNumberFormat="1" applyFont="1" applyFill="1" applyBorder="1" applyAlignment="1">
      <alignment horizontal="center" vertical="center"/>
    </xf>
    <xf numFmtId="2" fontId="62" fillId="0" borderId="16" xfId="14" applyNumberFormat="1" applyFont="1" applyFill="1" applyBorder="1" applyAlignment="1">
      <alignment horizontal="center" vertical="center"/>
    </xf>
    <xf numFmtId="4" fontId="3" fillId="0" borderId="35" xfId="14" applyNumberFormat="1" applyFont="1" applyFill="1" applyBorder="1" applyAlignment="1">
      <alignment horizontal="center" vertical="center"/>
    </xf>
    <xf numFmtId="4" fontId="3" fillId="0" borderId="24" xfId="14" applyNumberFormat="1" applyFont="1" applyFill="1" applyBorder="1" applyAlignment="1">
      <alignment horizontal="center" vertical="center"/>
    </xf>
    <xf numFmtId="4" fontId="3" fillId="0" borderId="2" xfId="14" applyNumberFormat="1" applyFont="1" applyFill="1" applyBorder="1" applyAlignment="1">
      <alignment horizontal="center" vertical="center"/>
    </xf>
    <xf numFmtId="4" fontId="3" fillId="0" borderId="3" xfId="14" applyNumberFormat="1" applyFont="1" applyFill="1" applyBorder="1" applyAlignment="1">
      <alignment horizontal="center" vertical="center"/>
    </xf>
    <xf numFmtId="4" fontId="3" fillId="0" borderId="21" xfId="14" applyNumberFormat="1" applyFont="1" applyFill="1" applyBorder="1" applyAlignment="1">
      <alignment horizontal="center" vertical="center"/>
    </xf>
    <xf numFmtId="4" fontId="3" fillId="0" borderId="22" xfId="14" applyNumberFormat="1" applyFont="1" applyFill="1" applyBorder="1" applyAlignment="1">
      <alignment horizontal="center" vertical="center"/>
    </xf>
    <xf numFmtId="4" fontId="62" fillId="0" borderId="15" xfId="14" applyNumberFormat="1" applyFont="1" applyFill="1" applyBorder="1" applyAlignment="1">
      <alignment horizontal="center" vertical="center"/>
    </xf>
    <xf numFmtId="4" fontId="62" fillId="0" borderId="16" xfId="14" applyNumberFormat="1" applyFont="1" applyFill="1" applyBorder="1" applyAlignment="1">
      <alignment horizontal="center" vertical="center"/>
    </xf>
    <xf numFmtId="0" fontId="62" fillId="0" borderId="12" xfId="2" applyFont="1" applyFill="1" applyBorder="1" applyAlignment="1">
      <alignment horizontal="center"/>
    </xf>
    <xf numFmtId="0" fontId="62" fillId="0" borderId="0" xfId="2" applyFont="1" applyFill="1" applyBorder="1" applyAlignment="1">
      <alignment horizontal="center"/>
    </xf>
    <xf numFmtId="4" fontId="62" fillId="0" borderId="0" xfId="14" applyNumberFormat="1" applyFont="1" applyFill="1" applyBorder="1" applyAlignment="1">
      <alignment horizontal="center" vertical="center"/>
    </xf>
    <xf numFmtId="4" fontId="62" fillId="0" borderId="13" xfId="14" applyNumberFormat="1" applyFont="1" applyFill="1" applyBorder="1" applyAlignment="1">
      <alignment horizontal="center" vertical="center"/>
    </xf>
    <xf numFmtId="4" fontId="62" fillId="0" borderId="27" xfId="14" applyNumberFormat="1" applyFont="1" applyFill="1" applyBorder="1" applyAlignment="1">
      <alignment horizontal="center" vertical="center"/>
    </xf>
    <xf numFmtId="4" fontId="62" fillId="0" borderId="29" xfId="14" applyNumberFormat="1" applyFont="1" applyFill="1" applyBorder="1" applyAlignment="1">
      <alignment horizontal="center" vertical="center"/>
    </xf>
    <xf numFmtId="0" fontId="68" fillId="0" borderId="10" xfId="17" applyFont="1" applyBorder="1"/>
    <xf numFmtId="0" fontId="68" fillId="0" borderId="11" xfId="17" applyFont="1" applyBorder="1"/>
    <xf numFmtId="0" fontId="64" fillId="0" borderId="0" xfId="17" applyFont="1"/>
    <xf numFmtId="0" fontId="64" fillId="0" borderId="13" xfId="17" applyFont="1" applyBorder="1"/>
    <xf numFmtId="0" fontId="69" fillId="0" borderId="0" xfId="17" applyFont="1"/>
    <xf numFmtId="0" fontId="69" fillId="0" borderId="13" xfId="17" applyFont="1" applyBorder="1"/>
    <xf numFmtId="0" fontId="40" fillId="0" borderId="12" xfId="17" applyFont="1" applyBorder="1"/>
    <xf numFmtId="49" fontId="60" fillId="0" borderId="12" xfId="11" applyNumberFormat="1" applyFont="1" applyBorder="1" applyAlignment="1" applyProtection="1">
      <alignment horizontal="left" vertical="center" wrapText="1"/>
      <protection locked="0"/>
    </xf>
    <xf numFmtId="49" fontId="60" fillId="0" borderId="0" xfId="11" applyNumberFormat="1" applyFont="1" applyAlignment="1" applyProtection="1">
      <alignment horizontal="left" vertical="center" wrapText="1"/>
      <protection locked="0"/>
    </xf>
    <xf numFmtId="49" fontId="60" fillId="0" borderId="0" xfId="11" applyNumberFormat="1" applyFont="1" applyAlignment="1" applyProtection="1">
      <alignment vertical="distributed" wrapText="1"/>
      <protection locked="0"/>
    </xf>
    <xf numFmtId="0" fontId="29" fillId="0" borderId="0" xfId="17" applyFont="1"/>
    <xf numFmtId="0" fontId="70" fillId="0" borderId="0" xfId="12" applyNumberFormat="1" applyFont="1" applyFill="1" applyBorder="1" applyAlignment="1" applyProtection="1">
      <alignment vertical="center" wrapText="1"/>
      <protection locked="0"/>
    </xf>
    <xf numFmtId="0" fontId="70" fillId="0" borderId="13" xfId="12" applyNumberFormat="1" applyFont="1" applyFill="1" applyBorder="1" applyAlignment="1" applyProtection="1">
      <alignment vertical="center" wrapText="1"/>
      <protection locked="0"/>
    </xf>
    <xf numFmtId="0" fontId="72" fillId="0" borderId="0" xfId="0" applyFont="1"/>
    <xf numFmtId="0" fontId="74" fillId="12" borderId="2" xfId="19" applyFont="1" applyFill="1" applyBorder="1" applyAlignment="1">
      <alignment horizontal="center" vertical="center" wrapText="1"/>
    </xf>
    <xf numFmtId="0" fontId="75" fillId="0" borderId="2" xfId="19" applyFont="1" applyBorder="1" applyAlignment="1">
      <alignment horizontal="left" vertical="center" wrapText="1"/>
    </xf>
    <xf numFmtId="2" fontId="3" fillId="12" borderId="2" xfId="0" applyNumberFormat="1" applyFont="1" applyFill="1" applyBorder="1" applyAlignment="1">
      <alignment horizontal="center"/>
    </xf>
    <xf numFmtId="0" fontId="3" fillId="12" borderId="2" xfId="0" applyFont="1" applyFill="1" applyBorder="1" applyAlignment="1">
      <alignment horizontal="center"/>
    </xf>
    <xf numFmtId="0" fontId="76" fillId="0" borderId="0" xfId="1" applyNumberFormat="1" applyFont="1" applyFill="1" applyBorder="1" applyAlignment="1">
      <alignment horizontal="center" vertical="center"/>
    </xf>
    <xf numFmtId="0" fontId="76" fillId="0" borderId="2" xfId="1" applyNumberFormat="1" applyFont="1" applyFill="1" applyBorder="1" applyAlignment="1">
      <alignment horizontal="center" vertical="center"/>
    </xf>
    <xf numFmtId="0" fontId="77" fillId="14" borderId="2" xfId="19" applyFont="1" applyFill="1" applyBorder="1" applyAlignment="1">
      <alignment horizontal="center" vertical="center" wrapText="1"/>
    </xf>
    <xf numFmtId="0" fontId="78" fillId="0" borderId="2" xfId="19" applyFont="1" applyBorder="1" applyAlignment="1">
      <alignment horizontal="center" vertical="center" wrapText="1"/>
    </xf>
    <xf numFmtId="4" fontId="77" fillId="14" borderId="2" xfId="19" applyNumberFormat="1" applyFont="1" applyFill="1" applyBorder="1" applyAlignment="1">
      <alignment horizontal="center" vertical="center" wrapText="1"/>
    </xf>
    <xf numFmtId="2" fontId="77" fillId="0" borderId="2" xfId="19" applyNumberFormat="1" applyFont="1" applyBorder="1" applyAlignment="1">
      <alignment horizontal="center" vertical="center" wrapText="1"/>
    </xf>
    <xf numFmtId="0" fontId="77" fillId="0" borderId="2" xfId="19" applyFont="1" applyBorder="1" applyAlignment="1">
      <alignment horizontal="center" vertical="center" wrapText="1"/>
    </xf>
    <xf numFmtId="0" fontId="77" fillId="15" borderId="2" xfId="19" applyFont="1" applyFill="1" applyBorder="1" applyAlignment="1">
      <alignment horizontal="center" vertical="center" wrapText="1"/>
    </xf>
    <xf numFmtId="0" fontId="74" fillId="15" borderId="2" xfId="19" applyFont="1" applyFill="1" applyBorder="1" applyAlignment="1">
      <alignment horizontal="left" vertical="center" wrapText="1"/>
    </xf>
    <xf numFmtId="4" fontId="77" fillId="15" borderId="2" xfId="19" applyNumberFormat="1" applyFont="1" applyFill="1" applyBorder="1" applyAlignment="1">
      <alignment horizontal="center" vertical="center" wrapText="1"/>
    </xf>
    <xf numFmtId="0" fontId="77" fillId="13" borderId="2" xfId="19" applyFont="1" applyFill="1" applyBorder="1" applyAlignment="1">
      <alignment horizontal="center" vertical="center" wrapText="1"/>
    </xf>
    <xf numFmtId="0" fontId="77" fillId="14" borderId="2" xfId="19" applyFont="1" applyFill="1" applyBorder="1" applyAlignment="1">
      <alignment horizontal="left" vertical="center" wrapText="1"/>
    </xf>
    <xf numFmtId="4" fontId="75" fillId="0" borderId="2" xfId="19" applyNumberFormat="1" applyFont="1" applyBorder="1" applyAlignment="1">
      <alignment horizontal="center" vertical="center" wrapText="1"/>
    </xf>
    <xf numFmtId="0" fontId="75" fillId="0" borderId="2" xfId="19" applyFont="1" applyBorder="1" applyAlignment="1">
      <alignment horizontal="center" vertical="center" wrapText="1"/>
    </xf>
    <xf numFmtId="0" fontId="31" fillId="0" borderId="2" xfId="1" applyNumberFormat="1" applyFont="1" applyFill="1" applyBorder="1" applyAlignment="1">
      <alignment horizontal="center" vertical="center"/>
    </xf>
    <xf numFmtId="0" fontId="79" fillId="14" borderId="2" xfId="19" applyFont="1" applyFill="1" applyBorder="1" applyAlignment="1">
      <alignment horizontal="center" vertical="center" wrapText="1"/>
    </xf>
    <xf numFmtId="0" fontId="75" fillId="14" borderId="2" xfId="19" applyFont="1" applyFill="1" applyBorder="1" applyAlignment="1">
      <alignment horizontal="left" vertical="center" wrapText="1"/>
    </xf>
    <xf numFmtId="0" fontId="75" fillId="14" borderId="2" xfId="19" applyFont="1" applyFill="1" applyBorder="1" applyAlignment="1">
      <alignment horizontal="center" vertical="center" wrapText="1"/>
    </xf>
    <xf numFmtId="2" fontId="75" fillId="0" borderId="2" xfId="19" applyNumberFormat="1" applyFont="1" applyBorder="1" applyAlignment="1">
      <alignment horizontal="center" vertical="center" wrapText="1"/>
    </xf>
    <xf numFmtId="2" fontId="75" fillId="0" borderId="8" xfId="19" applyNumberFormat="1" applyFont="1" applyBorder="1" applyAlignment="1">
      <alignment horizontal="center" vertical="center" wrapText="1"/>
    </xf>
    <xf numFmtId="0" fontId="74" fillId="2" borderId="2" xfId="19" applyFont="1" applyFill="1" applyBorder="1" applyAlignment="1">
      <alignment horizontal="center" vertical="center" wrapText="1"/>
    </xf>
    <xf numFmtId="0" fontId="77" fillId="0" borderId="2" xfId="19" applyFont="1" applyBorder="1" applyAlignment="1">
      <alignment horizontal="left" vertical="center" wrapText="1"/>
    </xf>
    <xf numFmtId="4" fontId="77" fillId="0" borderId="2" xfId="19" applyNumberFormat="1" applyFont="1" applyBorder="1" applyAlignment="1">
      <alignment horizontal="center" vertical="center" wrapText="1"/>
    </xf>
    <xf numFmtId="0" fontId="74" fillId="0" borderId="2" xfId="19" applyFont="1" applyBorder="1" applyAlignment="1">
      <alignment horizontal="center" vertical="center" wrapText="1"/>
    </xf>
    <xf numFmtId="2" fontId="74" fillId="0" borderId="2" xfId="19" applyNumberFormat="1" applyFont="1" applyBorder="1" applyAlignment="1">
      <alignment horizontal="center" vertical="center" wrapText="1"/>
    </xf>
    <xf numFmtId="0" fontId="77" fillId="0" borderId="0" xfId="19" applyFont="1" applyAlignment="1">
      <alignment horizontal="center" vertical="center" wrapText="1"/>
    </xf>
    <xf numFmtId="0" fontId="77" fillId="0" borderId="0" xfId="19" applyFont="1" applyAlignment="1">
      <alignment horizontal="left" vertical="center" wrapText="1"/>
    </xf>
    <xf numFmtId="4" fontId="77" fillId="0" borderId="0" xfId="19" applyNumberFormat="1" applyFont="1" applyAlignment="1">
      <alignment horizontal="center" vertical="center" wrapText="1"/>
    </xf>
    <xf numFmtId="0" fontId="74" fillId="0" borderId="0" xfId="19" applyFont="1" applyAlignment="1">
      <alignment horizontal="center" vertical="center" wrapText="1"/>
    </xf>
    <xf numFmtId="2" fontId="74" fillId="0" borderId="0" xfId="19" applyNumberFormat="1" applyFont="1" applyAlignment="1">
      <alignment horizontal="center" vertical="center" wrapText="1"/>
    </xf>
    <xf numFmtId="10" fontId="0" fillId="0" borderId="0" xfId="0" applyNumberFormat="1"/>
    <xf numFmtId="0" fontId="6" fillId="2" borderId="1" xfId="2" applyFont="1" applyFill="1" applyBorder="1" applyAlignment="1">
      <alignment horizontal="center" vertical="distributed" wrapText="1"/>
    </xf>
    <xf numFmtId="10" fontId="80" fillId="0" borderId="0" xfId="5" applyNumberFormat="1" applyFont="1" applyBorder="1" applyAlignment="1">
      <alignment horizontal="left"/>
    </xf>
    <xf numFmtId="43" fontId="81" fillId="0" borderId="15" xfId="1" applyFont="1" applyBorder="1" applyAlignment="1"/>
    <xf numFmtId="165" fontId="13" fillId="16" borderId="29" xfId="4" applyFont="1" applyFill="1" applyBorder="1" applyAlignment="1"/>
    <xf numFmtId="0" fontId="4" fillId="5" borderId="54" xfId="2" applyFont="1" applyFill="1" applyBorder="1" applyAlignment="1">
      <alignment vertical="distributed" wrapText="1"/>
    </xf>
    <xf numFmtId="0" fontId="4" fillId="5" borderId="55" xfId="2" applyFont="1" applyFill="1" applyBorder="1" applyAlignment="1">
      <alignment vertical="distributed" wrapText="1"/>
    </xf>
    <xf numFmtId="0" fontId="4" fillId="5" borderId="55" xfId="2" applyFont="1" applyFill="1" applyBorder="1" applyAlignment="1">
      <alignment horizontal="center" vertical="distributed" wrapText="1"/>
    </xf>
    <xf numFmtId="165" fontId="4" fillId="5" borderId="56" xfId="4" applyFont="1" applyFill="1" applyBorder="1" applyAlignment="1">
      <alignment horizontal="right"/>
    </xf>
    <xf numFmtId="0" fontId="4" fillId="16" borderId="27" xfId="0" applyFont="1" applyFill="1" applyBorder="1" applyAlignment="1">
      <alignment wrapText="1"/>
    </xf>
    <xf numFmtId="0" fontId="6" fillId="16" borderId="27" xfId="0" applyFont="1" applyFill="1" applyBorder="1" applyAlignment="1">
      <alignment horizontal="center" wrapText="1"/>
    </xf>
    <xf numFmtId="2" fontId="6" fillId="16" borderId="27" xfId="0" applyNumberFormat="1" applyFont="1" applyFill="1" applyBorder="1" applyAlignment="1">
      <alignment horizontal="center" wrapText="1"/>
    </xf>
    <xf numFmtId="4" fontId="6" fillId="16" borderId="27" xfId="0" applyNumberFormat="1" applyFont="1" applyFill="1" applyBorder="1" applyAlignment="1">
      <alignment horizontal="center" wrapText="1"/>
    </xf>
    <xf numFmtId="165" fontId="4" fillId="16" borderId="29" xfId="4" applyFont="1" applyFill="1" applyBorder="1" applyAlignment="1"/>
    <xf numFmtId="0" fontId="2" fillId="16" borderId="36" xfId="1" applyNumberFormat="1" applyFont="1" applyFill="1" applyBorder="1" applyAlignment="1">
      <alignment horizontal="center" vertical="center"/>
    </xf>
    <xf numFmtId="0" fontId="17" fillId="16" borderId="28" xfId="1" applyNumberFormat="1" applyFont="1" applyFill="1" applyBorder="1" applyAlignment="1">
      <alignment horizontal="center" vertical="center" wrapText="1"/>
    </xf>
    <xf numFmtId="0" fontId="4" fillId="16" borderId="28" xfId="0" applyFont="1" applyFill="1" applyBorder="1" applyAlignment="1">
      <alignment vertical="distributed" wrapText="1"/>
    </xf>
    <xf numFmtId="43" fontId="10" fillId="16" borderId="28" xfId="1" applyFont="1" applyFill="1" applyBorder="1" applyAlignment="1">
      <alignment horizontal="center" vertical="center" wrapText="1"/>
    </xf>
    <xf numFmtId="4" fontId="10" fillId="16" borderId="28" xfId="1" applyNumberFormat="1" applyFont="1" applyFill="1" applyBorder="1" applyAlignment="1">
      <alignment horizontal="center" vertical="center" wrapText="1"/>
    </xf>
    <xf numFmtId="165" fontId="4" fillId="16" borderId="39" xfId="4" applyFont="1" applyFill="1" applyBorder="1" applyAlignment="1">
      <alignment horizontal="right"/>
    </xf>
    <xf numFmtId="0" fontId="4" fillId="16" borderId="27" xfId="1" applyNumberFormat="1" applyFont="1" applyFill="1" applyBorder="1" applyAlignment="1">
      <alignment vertical="distributed"/>
    </xf>
    <xf numFmtId="0" fontId="4" fillId="16" borderId="27" xfId="1" applyNumberFormat="1" applyFont="1" applyFill="1" applyBorder="1" applyAlignment="1">
      <alignment horizontal="center"/>
    </xf>
    <xf numFmtId="0" fontId="13" fillId="16" borderId="27" xfId="1" applyNumberFormat="1" applyFont="1" applyFill="1" applyBorder="1" applyAlignment="1">
      <alignment horizontal="center"/>
    </xf>
    <xf numFmtId="4" fontId="2" fillId="16" borderId="28" xfId="1" applyNumberFormat="1" applyFont="1" applyFill="1" applyBorder="1" applyAlignment="1">
      <alignment horizontal="right"/>
    </xf>
    <xf numFmtId="0" fontId="0" fillId="0" borderId="0" xfId="0" applyFill="1"/>
    <xf numFmtId="0" fontId="2" fillId="6" borderId="2" xfId="1" applyNumberFormat="1" applyFont="1" applyFill="1" applyBorder="1" applyAlignment="1">
      <alignment horizontal="center" vertical="center"/>
    </xf>
    <xf numFmtId="0" fontId="4" fillId="6" borderId="2" xfId="2" applyFont="1" applyFill="1" applyBorder="1" applyAlignment="1">
      <alignment vertical="distributed" wrapText="1"/>
    </xf>
    <xf numFmtId="43" fontId="2" fillId="6" borderId="2" xfId="1" applyFont="1" applyFill="1" applyBorder="1" applyAlignment="1">
      <alignment horizontal="center"/>
    </xf>
    <xf numFmtId="4" fontId="2" fillId="6" borderId="2" xfId="1" applyNumberFormat="1" applyFont="1" applyFill="1" applyBorder="1" applyAlignment="1">
      <alignment horizontal="right"/>
    </xf>
    <xf numFmtId="4" fontId="5" fillId="6" borderId="2" xfId="3" applyNumberFormat="1" applyFont="1" applyFill="1" applyBorder="1" applyAlignment="1">
      <alignment horizontal="right"/>
    </xf>
    <xf numFmtId="165" fontId="4" fillId="6" borderId="3" xfId="4" applyFont="1" applyFill="1" applyBorder="1" applyAlignment="1">
      <alignment horizontal="right"/>
    </xf>
    <xf numFmtId="4" fontId="0" fillId="0" borderId="0" xfId="0" applyNumberFormat="1" applyFill="1"/>
    <xf numFmtId="165" fontId="4" fillId="5" borderId="8" xfId="2" applyNumberFormat="1" applyFont="1" applyFill="1" applyBorder="1" applyAlignment="1">
      <alignment vertical="distributed" wrapText="1"/>
    </xf>
    <xf numFmtId="0" fontId="74" fillId="14" borderId="2" xfId="19" applyFont="1" applyFill="1" applyBorder="1" applyAlignment="1">
      <alignment horizontal="center" vertical="center" wrapText="1"/>
    </xf>
    <xf numFmtId="0" fontId="6" fillId="16" borderId="27" xfId="0" applyFont="1" applyFill="1" applyBorder="1" applyAlignment="1">
      <alignment vertical="distributed" wrapText="1"/>
    </xf>
    <xf numFmtId="4" fontId="6" fillId="16" borderId="27" xfId="1" applyNumberFormat="1" applyFont="1" applyFill="1" applyBorder="1" applyAlignment="1">
      <alignment horizontal="center"/>
    </xf>
    <xf numFmtId="0" fontId="6" fillId="2" borderId="57" xfId="0" applyFont="1" applyFill="1" applyBorder="1" applyAlignment="1">
      <alignment horizontal="center" vertical="distributed" wrapText="1"/>
    </xf>
    <xf numFmtId="0" fontId="6" fillId="2" borderId="57" xfId="0" applyFont="1" applyFill="1" applyBorder="1" applyAlignment="1">
      <alignment vertical="distributed" wrapText="1"/>
    </xf>
    <xf numFmtId="2" fontId="6" fillId="2" borderId="57" xfId="0" applyNumberFormat="1" applyFont="1" applyFill="1" applyBorder="1" applyAlignment="1">
      <alignment horizontal="center" wrapText="1"/>
    </xf>
    <xf numFmtId="4" fontId="6" fillId="2" borderId="57" xfId="1" applyNumberFormat="1" applyFont="1" applyFill="1" applyBorder="1" applyAlignment="1">
      <alignment horizontal="center"/>
    </xf>
    <xf numFmtId="165" fontId="7" fillId="2" borderId="57" xfId="4" applyFont="1" applyFill="1" applyBorder="1" applyAlignment="1">
      <alignment horizontal="right"/>
    </xf>
    <xf numFmtId="0" fontId="6" fillId="2" borderId="57" xfId="0" applyFont="1" applyFill="1" applyBorder="1" applyAlignment="1">
      <alignment horizontal="center" wrapText="1"/>
    </xf>
    <xf numFmtId="0" fontId="6" fillId="2" borderId="57" xfId="0" applyFont="1" applyFill="1" applyBorder="1" applyAlignment="1">
      <alignment wrapText="1"/>
    </xf>
    <xf numFmtId="4" fontId="6" fillId="2" borderId="57" xfId="0" applyNumberFormat="1" applyFont="1" applyFill="1" applyBorder="1" applyAlignment="1">
      <alignment horizontal="center" wrapText="1"/>
    </xf>
    <xf numFmtId="165" fontId="6" fillId="2" borderId="57" xfId="4" applyFont="1" applyFill="1" applyBorder="1" applyAlignment="1">
      <alignment horizontal="right"/>
    </xf>
    <xf numFmtId="0" fontId="6" fillId="2" borderId="37" xfId="0" applyFont="1" applyFill="1" applyBorder="1" applyAlignment="1">
      <alignment horizontal="center" vertical="distributed" wrapText="1"/>
    </xf>
    <xf numFmtId="165" fontId="7" fillId="2" borderId="38" xfId="4" applyFont="1" applyFill="1" applyBorder="1" applyAlignment="1">
      <alignment horizontal="right"/>
    </xf>
    <xf numFmtId="0" fontId="4" fillId="16" borderId="27" xfId="2" applyFont="1" applyFill="1" applyBorder="1" applyAlignment="1">
      <alignment vertical="distributed" wrapText="1"/>
    </xf>
    <xf numFmtId="165" fontId="4" fillId="16" borderId="29" xfId="4" applyFont="1" applyFill="1" applyBorder="1" applyAlignment="1">
      <alignment horizontal="right"/>
    </xf>
    <xf numFmtId="165" fontId="4" fillId="4" borderId="29" xfId="4" applyFont="1" applyFill="1" applyBorder="1" applyAlignment="1"/>
    <xf numFmtId="43" fontId="82" fillId="16" borderId="29" xfId="0" applyNumberFormat="1" applyFont="1" applyFill="1" applyBorder="1"/>
    <xf numFmtId="0" fontId="6" fillId="16" borderId="26" xfId="1" applyNumberFormat="1" applyFont="1" applyFill="1" applyBorder="1" applyAlignment="1">
      <alignment horizontal="right" vertical="center"/>
    </xf>
    <xf numFmtId="0" fontId="6" fillId="16" borderId="27" xfId="1" applyNumberFormat="1" applyFont="1" applyFill="1" applyBorder="1" applyAlignment="1">
      <alignment horizontal="right" vertical="center"/>
    </xf>
    <xf numFmtId="165" fontId="83" fillId="0" borderId="0" xfId="4" applyFont="1" applyFill="1" applyBorder="1" applyAlignment="1"/>
    <xf numFmtId="0" fontId="4" fillId="16" borderId="26" xfId="2" applyFont="1" applyFill="1" applyBorder="1" applyAlignment="1">
      <alignment horizontal="center" vertical="distributed" wrapText="1"/>
    </xf>
    <xf numFmtId="0" fontId="31" fillId="6" borderId="21" xfId="10" applyFont="1" applyFill="1" applyBorder="1" applyAlignment="1">
      <alignment horizontal="center"/>
    </xf>
    <xf numFmtId="9" fontId="31" fillId="6" borderId="21" xfId="10" applyNumberFormat="1" applyFont="1" applyFill="1" applyBorder="1" applyAlignment="1">
      <alignment horizontal="center"/>
    </xf>
    <xf numFmtId="0" fontId="31" fillId="6" borderId="22" xfId="10" applyFont="1" applyFill="1" applyBorder="1" applyAlignment="1">
      <alignment horizontal="center"/>
    </xf>
    <xf numFmtId="0" fontId="10" fillId="6" borderId="36" xfId="15" applyFont="1" applyFill="1" applyBorder="1" applyAlignment="1">
      <alignment horizontal="center" vertical="center"/>
    </xf>
    <xf numFmtId="0" fontId="4" fillId="6" borderId="28" xfId="15" applyFont="1" applyFill="1" applyBorder="1" applyAlignment="1">
      <alignment horizontal="right"/>
    </xf>
    <xf numFmtId="165" fontId="10" fillId="6" borderId="28" xfId="4" applyFont="1" applyFill="1" applyBorder="1" applyAlignment="1">
      <alignment horizontal="center" vertical="center"/>
    </xf>
    <xf numFmtId="10" fontId="10" fillId="6" borderId="28" xfId="9" applyNumberFormat="1" applyFont="1" applyFill="1" applyBorder="1" applyAlignment="1">
      <alignment horizontal="center"/>
    </xf>
    <xf numFmtId="10" fontId="4" fillId="6" borderId="28" xfId="9" applyNumberFormat="1" applyFont="1" applyFill="1" applyBorder="1" applyAlignment="1">
      <alignment horizontal="center" vertical="center"/>
    </xf>
    <xf numFmtId="0" fontId="10" fillId="6" borderId="36" xfId="10" applyFont="1" applyFill="1" applyBorder="1" applyAlignment="1">
      <alignment horizontal="center" vertical="center"/>
    </xf>
    <xf numFmtId="0" fontId="10" fillId="6" borderId="28" xfId="10" applyFont="1" applyFill="1" applyBorder="1"/>
    <xf numFmtId="10" fontId="10" fillId="6" borderId="28" xfId="9" applyNumberFormat="1" applyFont="1" applyFill="1" applyBorder="1" applyAlignment="1">
      <alignment horizontal="center" vertical="center"/>
    </xf>
    <xf numFmtId="165" fontId="10" fillId="6" borderId="28" xfId="4" applyFont="1" applyFill="1" applyBorder="1" applyAlignment="1">
      <alignment horizontal="center"/>
    </xf>
    <xf numFmtId="165" fontId="4" fillId="6" borderId="28" xfId="4" applyFont="1" applyFill="1" applyBorder="1" applyAlignment="1">
      <alignment horizontal="center"/>
    </xf>
    <xf numFmtId="10" fontId="34" fillId="6" borderId="28" xfId="9" applyNumberFormat="1" applyFont="1" applyFill="1" applyBorder="1" applyAlignment="1">
      <alignment horizontal="center"/>
    </xf>
    <xf numFmtId="165" fontId="34" fillId="6" borderId="28" xfId="4" applyFont="1" applyFill="1" applyBorder="1"/>
    <xf numFmtId="165" fontId="34" fillId="6" borderId="39" xfId="4" applyFont="1" applyFill="1" applyBorder="1"/>
    <xf numFmtId="0" fontId="15" fillId="6" borderId="36" xfId="10" applyFont="1" applyFill="1" applyBorder="1" applyAlignment="1">
      <alignment horizontal="center" vertical="center"/>
    </xf>
    <xf numFmtId="164" fontId="10" fillId="6" borderId="28" xfId="14" applyFont="1" applyFill="1" applyBorder="1" applyAlignment="1">
      <alignment horizontal="center" vertical="center"/>
    </xf>
    <xf numFmtId="4" fontId="10" fillId="6" borderId="28" xfId="14" applyNumberFormat="1" applyFont="1" applyFill="1" applyBorder="1" applyAlignment="1">
      <alignment horizontal="center"/>
    </xf>
    <xf numFmtId="164" fontId="10" fillId="6" borderId="28" xfId="14" applyFont="1" applyFill="1" applyBorder="1" applyAlignment="1">
      <alignment horizontal="right"/>
    </xf>
    <xf numFmtId="10" fontId="34" fillId="6" borderId="28" xfId="10" applyNumberFormat="1" applyFont="1" applyFill="1" applyBorder="1" applyAlignment="1">
      <alignment horizontal="center"/>
    </xf>
    <xf numFmtId="0" fontId="32" fillId="6" borderId="12" xfId="10" applyFont="1" applyFill="1" applyBorder="1" applyAlignment="1">
      <alignment horizontal="center" vertical="center"/>
    </xf>
    <xf numFmtId="0" fontId="32" fillId="6" borderId="0" xfId="10" applyFont="1" applyFill="1" applyBorder="1"/>
    <xf numFmtId="164" fontId="32" fillId="6" borderId="0" xfId="14" applyFont="1" applyFill="1" applyBorder="1" applyAlignment="1">
      <alignment horizontal="center" vertical="center"/>
    </xf>
    <xf numFmtId="4" fontId="32" fillId="6" borderId="0" xfId="14" applyNumberFormat="1" applyFont="1" applyFill="1" applyBorder="1" applyAlignment="1">
      <alignment horizontal="center"/>
    </xf>
    <xf numFmtId="164" fontId="32" fillId="6" borderId="0" xfId="14" applyFont="1" applyFill="1" applyBorder="1" applyAlignment="1">
      <alignment horizontal="right"/>
    </xf>
    <xf numFmtId="164" fontId="32" fillId="6" borderId="0" xfId="10" applyNumberFormat="1" applyFont="1" applyFill="1" applyBorder="1"/>
    <xf numFmtId="9" fontId="32" fillId="6" borderId="0" xfId="10" applyNumberFormat="1" applyFont="1" applyFill="1" applyBorder="1" applyAlignment="1">
      <alignment horizontal="center"/>
    </xf>
    <xf numFmtId="0" fontId="32" fillId="6" borderId="13" xfId="10" applyFont="1" applyFill="1" applyBorder="1"/>
    <xf numFmtId="0" fontId="0" fillId="0" borderId="0" xfId="0" applyAlignment="1">
      <alignment horizontal="center"/>
    </xf>
    <xf numFmtId="0" fontId="84" fillId="0" borderId="2" xfId="0" applyFont="1" applyBorder="1" applyAlignment="1">
      <alignment horizontal="center"/>
    </xf>
    <xf numFmtId="4" fontId="0" fillId="0" borderId="2" xfId="0" applyNumberFormat="1" applyBorder="1"/>
    <xf numFmtId="0" fontId="0" fillId="0" borderId="2" xfId="0" applyBorder="1"/>
    <xf numFmtId="0" fontId="84" fillId="16" borderId="0" xfId="0" applyFont="1" applyFill="1" applyAlignment="1">
      <alignment horizontal="center"/>
    </xf>
    <xf numFmtId="4" fontId="0" fillId="16" borderId="0" xfId="0" applyNumberFormat="1" applyFill="1"/>
    <xf numFmtId="4" fontId="84" fillId="16" borderId="0" xfId="0" applyNumberFormat="1" applyFont="1" applyFill="1"/>
    <xf numFmtId="0" fontId="84" fillId="0" borderId="2" xfId="0" applyFont="1" applyFill="1" applyBorder="1" applyAlignment="1">
      <alignment horizontal="center"/>
    </xf>
    <xf numFmtId="0" fontId="84" fillId="5" borderId="0" xfId="0" applyFont="1" applyFill="1" applyAlignment="1">
      <alignment horizontal="center"/>
    </xf>
    <xf numFmtId="165" fontId="32" fillId="0" borderId="2" xfId="4" applyFont="1" applyFill="1" applyBorder="1" applyAlignment="1">
      <alignment horizontal="center" vertical="center"/>
    </xf>
    <xf numFmtId="0" fontId="7" fillId="0" borderId="0" xfId="0" applyFont="1" applyAlignment="1">
      <alignment vertical="distributed" wrapText="1"/>
    </xf>
    <xf numFmtId="0" fontId="7" fillId="0" borderId="0" xfId="1" applyNumberFormat="1" applyFont="1" applyAlignment="1">
      <alignment horizontal="center" vertical="center"/>
    </xf>
    <xf numFmtId="0" fontId="72" fillId="0" borderId="0" xfId="0" applyFont="1" applyFill="1"/>
    <xf numFmtId="2" fontId="75" fillId="0" borderId="2" xfId="19" applyNumberFormat="1" applyFont="1" applyFill="1" applyBorder="1" applyAlignment="1">
      <alignment horizontal="center" vertical="center" wrapText="1"/>
    </xf>
    <xf numFmtId="0" fontId="75" fillId="0" borderId="2" xfId="19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distributed" wrapText="1"/>
    </xf>
    <xf numFmtId="0" fontId="6" fillId="0" borderId="23" xfId="0" applyFont="1" applyFill="1" applyBorder="1" applyAlignment="1">
      <alignment vertical="distributed" wrapText="1"/>
    </xf>
    <xf numFmtId="2" fontId="6" fillId="0" borderId="23" xfId="0" applyNumberFormat="1" applyFont="1" applyFill="1" applyBorder="1" applyAlignment="1">
      <alignment horizontal="center" wrapText="1"/>
    </xf>
    <xf numFmtId="4" fontId="6" fillId="0" borderId="23" xfId="1" applyNumberFormat="1" applyFont="1" applyFill="1" applyBorder="1" applyAlignment="1">
      <alignment horizontal="center"/>
    </xf>
    <xf numFmtId="0" fontId="6" fillId="0" borderId="32" xfId="0" applyFont="1" applyFill="1" applyBorder="1" applyAlignment="1">
      <alignment horizontal="center" vertical="distributed" wrapText="1"/>
    </xf>
    <xf numFmtId="0" fontId="6" fillId="0" borderId="32" xfId="0" applyFont="1" applyFill="1" applyBorder="1" applyAlignment="1">
      <alignment vertical="distributed" wrapText="1"/>
    </xf>
    <xf numFmtId="2" fontId="6" fillId="0" borderId="32" xfId="0" applyNumberFormat="1" applyFont="1" applyFill="1" applyBorder="1" applyAlignment="1">
      <alignment horizontal="center" wrapText="1"/>
    </xf>
    <xf numFmtId="4" fontId="6" fillId="0" borderId="32" xfId="1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distributed" wrapText="1"/>
    </xf>
    <xf numFmtId="0" fontId="6" fillId="0" borderId="2" xfId="0" applyFont="1" applyFill="1" applyBorder="1" applyAlignment="1">
      <alignment vertical="distributed" wrapText="1"/>
    </xf>
    <xf numFmtId="2" fontId="6" fillId="0" borderId="2" xfId="0" applyNumberFormat="1" applyFont="1" applyFill="1" applyBorder="1" applyAlignment="1">
      <alignment horizontal="center" wrapText="1"/>
    </xf>
    <xf numFmtId="4" fontId="6" fillId="0" borderId="5" xfId="1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vertical="distributed" wrapText="1"/>
    </xf>
    <xf numFmtId="165" fontId="7" fillId="0" borderId="3" xfId="4" applyFont="1" applyFill="1" applyBorder="1" applyAlignment="1">
      <alignment horizontal="right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4" fontId="6" fillId="0" borderId="2" xfId="1" applyNumberFormat="1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 vertical="distributed" wrapText="1"/>
    </xf>
    <xf numFmtId="0" fontId="6" fillId="0" borderId="2" xfId="2" applyFont="1" applyFill="1" applyBorder="1" applyAlignment="1">
      <alignment horizontal="left" vertical="distributed" wrapText="1"/>
    </xf>
    <xf numFmtId="0" fontId="6" fillId="0" borderId="5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wrapText="1"/>
    </xf>
    <xf numFmtId="2" fontId="6" fillId="0" borderId="5" xfId="0" applyNumberFormat="1" applyFont="1" applyFill="1" applyBorder="1" applyAlignment="1">
      <alignment horizontal="center" wrapText="1"/>
    </xf>
    <xf numFmtId="165" fontId="6" fillId="0" borderId="25" xfId="4" applyFont="1" applyFill="1" applyBorder="1" applyAlignment="1">
      <alignment horizontal="right"/>
    </xf>
    <xf numFmtId="165" fontId="6" fillId="0" borderId="3" xfId="4" applyFont="1" applyFill="1" applyBorder="1" applyAlignment="1">
      <alignment horizontal="right"/>
    </xf>
    <xf numFmtId="0" fontId="6" fillId="2" borderId="15" xfId="0" applyFont="1" applyFill="1" applyBorder="1" applyAlignment="1">
      <alignment horizontal="center" vertical="distributed" wrapText="1"/>
    </xf>
    <xf numFmtId="0" fontId="6" fillId="2" borderId="15" xfId="0" applyFont="1" applyFill="1" applyBorder="1" applyAlignment="1">
      <alignment vertical="distributed" wrapText="1"/>
    </xf>
    <xf numFmtId="2" fontId="6" fillId="2" borderId="15" xfId="0" applyNumberFormat="1" applyFont="1" applyFill="1" applyBorder="1" applyAlignment="1">
      <alignment horizontal="center" wrapText="1"/>
    </xf>
    <xf numFmtId="4" fontId="6" fillId="2" borderId="15" xfId="1" applyNumberFormat="1" applyFont="1" applyFill="1" applyBorder="1" applyAlignment="1">
      <alignment horizontal="center"/>
    </xf>
    <xf numFmtId="165" fontId="7" fillId="2" borderId="15" xfId="4" applyFont="1" applyFill="1" applyBorder="1" applyAlignment="1">
      <alignment horizontal="right"/>
    </xf>
    <xf numFmtId="0" fontId="86" fillId="17" borderId="58" xfId="0" applyFont="1" applyFill="1" applyBorder="1" applyAlignment="1">
      <alignment wrapText="1"/>
    </xf>
    <xf numFmtId="0" fontId="86" fillId="17" borderId="59" xfId="0" applyFont="1" applyFill="1" applyBorder="1" applyAlignment="1">
      <alignment wrapText="1"/>
    </xf>
    <xf numFmtId="0" fontId="86" fillId="17" borderId="60" xfId="0" applyFont="1" applyFill="1" applyBorder="1" applyAlignment="1">
      <alignment wrapText="1"/>
    </xf>
    <xf numFmtId="0" fontId="85" fillId="17" borderId="61" xfId="21" applyFill="1" applyBorder="1" applyAlignment="1" applyProtection="1">
      <alignment wrapText="1"/>
    </xf>
    <xf numFmtId="0" fontId="86" fillId="17" borderId="61" xfId="0" applyFont="1" applyFill="1" applyBorder="1" applyAlignment="1">
      <alignment wrapText="1"/>
    </xf>
    <xf numFmtId="0" fontId="74" fillId="15" borderId="2" xfId="19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87" fillId="17" borderId="59" xfId="0" applyFont="1" applyFill="1" applyBorder="1" applyAlignment="1">
      <alignment horizontal="center" wrapText="1"/>
    </xf>
    <xf numFmtId="0" fontId="86" fillId="2" borderId="60" xfId="0" applyFont="1" applyFill="1" applyBorder="1" applyAlignment="1">
      <alignment wrapText="1"/>
    </xf>
    <xf numFmtId="0" fontId="86" fillId="2" borderId="61" xfId="0" applyFont="1" applyFill="1" applyBorder="1" applyAlignment="1">
      <alignment wrapText="1"/>
    </xf>
    <xf numFmtId="0" fontId="86" fillId="17" borderId="60" xfId="0" applyFont="1" applyFill="1" applyBorder="1" applyAlignment="1">
      <alignment horizontal="center" wrapText="1"/>
    </xf>
    <xf numFmtId="0" fontId="86" fillId="17" borderId="61" xfId="0" applyFont="1" applyFill="1" applyBorder="1" applyAlignment="1">
      <alignment horizontal="center" wrapText="1"/>
    </xf>
    <xf numFmtId="2" fontId="86" fillId="17" borderId="61" xfId="0" applyNumberFormat="1" applyFont="1" applyFill="1" applyBorder="1" applyAlignment="1">
      <alignment horizontal="center" wrapText="1"/>
    </xf>
    <xf numFmtId="0" fontId="86" fillId="17" borderId="60" xfId="0" applyFont="1" applyFill="1" applyBorder="1" applyAlignment="1">
      <alignment horizontal="left" wrapText="1"/>
    </xf>
    <xf numFmtId="0" fontId="86" fillId="2" borderId="61" xfId="0" applyFont="1" applyFill="1" applyBorder="1" applyAlignment="1">
      <alignment horizontal="center" wrapText="1"/>
    </xf>
    <xf numFmtId="2" fontId="86" fillId="2" borderId="61" xfId="0" applyNumberFormat="1" applyFont="1" applyFill="1" applyBorder="1" applyAlignment="1">
      <alignment horizontal="center" wrapText="1"/>
    </xf>
    <xf numFmtId="0" fontId="86" fillId="17" borderId="58" xfId="0" applyFont="1" applyFill="1" applyBorder="1" applyAlignment="1">
      <alignment horizontal="center" wrapText="1"/>
    </xf>
    <xf numFmtId="0" fontId="86" fillId="2" borderId="60" xfId="0" applyFont="1" applyFill="1" applyBorder="1" applyAlignment="1">
      <alignment horizontal="center" wrapText="1"/>
    </xf>
    <xf numFmtId="0" fontId="85" fillId="2" borderId="61" xfId="21" applyFill="1" applyBorder="1" applyAlignment="1" applyProtection="1">
      <alignment horizontal="center" wrapText="1"/>
    </xf>
    <xf numFmtId="0" fontId="75" fillId="15" borderId="2" xfId="19" applyFont="1" applyFill="1" applyBorder="1" applyAlignment="1">
      <alignment horizontal="center" vertical="center" wrapText="1"/>
    </xf>
    <xf numFmtId="0" fontId="89" fillId="15" borderId="2" xfId="19" applyFont="1" applyFill="1" applyBorder="1" applyAlignment="1">
      <alignment horizontal="left" vertical="center" wrapText="1"/>
    </xf>
    <xf numFmtId="0" fontId="88" fillId="18" borderId="2" xfId="19" applyFont="1" applyFill="1" applyBorder="1" applyAlignment="1">
      <alignment horizontal="center" vertical="center" wrapText="1"/>
    </xf>
    <xf numFmtId="0" fontId="88" fillId="18" borderId="2" xfId="19" applyFont="1" applyFill="1" applyBorder="1" applyAlignment="1">
      <alignment horizontal="left" vertical="center" wrapText="1"/>
    </xf>
    <xf numFmtId="172" fontId="88" fillId="18" borderId="2" xfId="19" applyNumberFormat="1" applyFont="1" applyFill="1" applyBorder="1" applyAlignment="1">
      <alignment horizontal="center" vertical="center" wrapText="1"/>
    </xf>
    <xf numFmtId="4" fontId="88" fillId="18" borderId="2" xfId="19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wrapText="1"/>
    </xf>
    <xf numFmtId="4" fontId="6" fillId="2" borderId="2" xfId="0" applyNumberFormat="1" applyFont="1" applyFill="1" applyBorder="1" applyAlignment="1">
      <alignment horizontal="center" wrapText="1"/>
    </xf>
    <xf numFmtId="0" fontId="6" fillId="2" borderId="2" xfId="2" applyFont="1" applyFill="1" applyBorder="1" applyAlignment="1">
      <alignment horizontal="center" vertical="distributed" wrapText="1"/>
    </xf>
    <xf numFmtId="4" fontId="6" fillId="2" borderId="2" xfId="1" applyNumberFormat="1" applyFont="1" applyFill="1" applyBorder="1" applyAlignment="1">
      <alignment horizontal="center"/>
    </xf>
    <xf numFmtId="4" fontId="6" fillId="2" borderId="23" xfId="1" applyNumberFormat="1" applyFont="1" applyFill="1" applyBorder="1" applyAlignment="1">
      <alignment horizontal="center"/>
    </xf>
    <xf numFmtId="4" fontId="6" fillId="2" borderId="32" xfId="1" applyNumberFormat="1" applyFont="1" applyFill="1" applyBorder="1" applyAlignment="1">
      <alignment horizontal="center"/>
    </xf>
    <xf numFmtId="4" fontId="0" fillId="2" borderId="2" xfId="0" applyNumberFormat="1" applyFill="1" applyBorder="1"/>
    <xf numFmtId="0" fontId="6" fillId="2" borderId="2" xfId="0" applyFont="1" applyFill="1" applyBorder="1" applyAlignment="1">
      <alignment horizontal="center" vertical="distributed" wrapText="1"/>
    </xf>
    <xf numFmtId="2" fontId="0" fillId="0" borderId="2" xfId="0" applyNumberFormat="1" applyBorder="1"/>
    <xf numFmtId="0" fontId="89" fillId="15" borderId="2" xfId="19" applyFont="1" applyFill="1" applyBorder="1" applyAlignment="1">
      <alignment horizontal="center" vertical="center" wrapText="1"/>
    </xf>
    <xf numFmtId="10" fontId="0" fillId="2" borderId="0" xfId="0" applyNumberFormat="1" applyFill="1"/>
    <xf numFmtId="0" fontId="4" fillId="2" borderId="2" xfId="0" applyFont="1" applyFill="1" applyBorder="1" applyAlignment="1">
      <alignment vertical="distributed" wrapText="1"/>
    </xf>
    <xf numFmtId="0" fontId="6" fillId="2" borderId="2" xfId="2" applyFont="1" applyFill="1" applyBorder="1" applyAlignment="1">
      <alignment horizontal="left" vertical="distributed" wrapText="1"/>
    </xf>
    <xf numFmtId="0" fontId="6" fillId="2" borderId="2" xfId="2" applyFont="1" applyFill="1" applyBorder="1" applyAlignment="1">
      <alignment horizontal="center" wrapText="1"/>
    </xf>
    <xf numFmtId="165" fontId="6" fillId="2" borderId="3" xfId="4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 wrapText="1"/>
    </xf>
    <xf numFmtId="0" fontId="6" fillId="2" borderId="21" xfId="0" applyFont="1" applyFill="1" applyBorder="1" applyAlignment="1">
      <alignment wrapText="1"/>
    </xf>
    <xf numFmtId="2" fontId="6" fillId="2" borderId="21" xfId="0" applyNumberFormat="1" applyFont="1" applyFill="1" applyBorder="1" applyAlignment="1">
      <alignment horizontal="center" wrapText="1"/>
    </xf>
    <xf numFmtId="4" fontId="6" fillId="2" borderId="21" xfId="1" applyNumberFormat="1" applyFont="1" applyFill="1" applyBorder="1" applyAlignment="1">
      <alignment horizontal="center"/>
    </xf>
    <xf numFmtId="165" fontId="7" fillId="2" borderId="22" xfId="4" applyFont="1" applyFill="1" applyBorder="1" applyAlignment="1">
      <alignment horizontal="right"/>
    </xf>
    <xf numFmtId="43" fontId="0" fillId="2" borderId="0" xfId="0" applyNumberFormat="1" applyFill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wrapText="1"/>
    </xf>
    <xf numFmtId="2" fontId="0" fillId="2" borderId="2" xfId="0" applyNumberFormat="1" applyFill="1" applyBorder="1"/>
    <xf numFmtId="0" fontId="6" fillId="0" borderId="4" xfId="0" applyFont="1" applyFill="1" applyBorder="1" applyAlignment="1">
      <alignment horizontal="center" vertical="distributed" wrapText="1"/>
    </xf>
    <xf numFmtId="0" fontId="4" fillId="16" borderId="26" xfId="0" applyFont="1" applyFill="1" applyBorder="1" applyAlignment="1">
      <alignment horizontal="center" wrapText="1"/>
    </xf>
    <xf numFmtId="0" fontId="4" fillId="16" borderId="27" xfId="0" applyFont="1" applyFill="1" applyBorder="1" applyAlignment="1">
      <alignment horizontal="center" wrapText="1"/>
    </xf>
    <xf numFmtId="0" fontId="6" fillId="16" borderId="26" xfId="1" applyNumberFormat="1" applyFont="1" applyFill="1" applyBorder="1" applyAlignment="1">
      <alignment horizontal="center" vertical="center"/>
    </xf>
    <xf numFmtId="0" fontId="6" fillId="16" borderId="27" xfId="1" applyNumberFormat="1" applyFont="1" applyFill="1" applyBorder="1" applyAlignment="1">
      <alignment horizontal="center" vertical="center"/>
    </xf>
    <xf numFmtId="0" fontId="4" fillId="16" borderId="26" xfId="0" applyFont="1" applyFill="1" applyBorder="1" applyAlignment="1">
      <alignment horizontal="left" vertical="distributed" wrapText="1"/>
    </xf>
    <xf numFmtId="0" fontId="4" fillId="16" borderId="27" xfId="0" applyFont="1" applyFill="1" applyBorder="1" applyAlignment="1">
      <alignment horizontal="left" vertical="distributed" wrapText="1"/>
    </xf>
    <xf numFmtId="0" fontId="7" fillId="0" borderId="10" xfId="1" applyNumberFormat="1" applyFont="1" applyBorder="1" applyAlignment="1">
      <alignment horizontal="center" vertical="center"/>
    </xf>
    <xf numFmtId="0" fontId="7" fillId="0" borderId="0" xfId="1" applyNumberFormat="1" applyFont="1" applyAlignment="1">
      <alignment horizontal="center" vertical="center"/>
    </xf>
    <xf numFmtId="0" fontId="21" fillId="0" borderId="12" xfId="0" applyFont="1" applyFill="1" applyBorder="1" applyAlignment="1">
      <alignment horizontal="left" wrapText="1"/>
    </xf>
    <xf numFmtId="0" fontId="21" fillId="0" borderId="0" xfId="0" applyFont="1" applyFill="1" applyBorder="1" applyAlignment="1">
      <alignment horizontal="left" wrapText="1"/>
    </xf>
    <xf numFmtId="0" fontId="21" fillId="0" borderId="13" xfId="0" applyFont="1" applyFill="1" applyBorder="1" applyAlignment="1">
      <alignment horizontal="left" wrapText="1"/>
    </xf>
    <xf numFmtId="4" fontId="19" fillId="0" borderId="0" xfId="1" applyNumberFormat="1" applyFont="1" applyAlignment="1">
      <alignment horizontal="center"/>
    </xf>
    <xf numFmtId="0" fontId="20" fillId="0" borderId="12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13" xfId="0" applyFont="1" applyBorder="1" applyAlignment="1">
      <alignment horizontal="left"/>
    </xf>
    <xf numFmtId="0" fontId="21" fillId="0" borderId="12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13" xfId="0" applyFont="1" applyBorder="1" applyAlignment="1">
      <alignment horizontal="left" wrapText="1"/>
    </xf>
    <xf numFmtId="4" fontId="7" fillId="0" borderId="10" xfId="1" applyNumberFormat="1" applyFont="1" applyBorder="1" applyAlignment="1">
      <alignment horizontal="center"/>
    </xf>
    <xf numFmtId="0" fontId="21" fillId="0" borderId="14" xfId="0" applyFont="1" applyBorder="1" applyAlignment="1">
      <alignment horizontal="left" wrapText="1"/>
    </xf>
    <xf numFmtId="0" fontId="21" fillId="0" borderId="15" xfId="0" applyFont="1" applyBorder="1" applyAlignment="1">
      <alignment horizontal="left" wrapText="1"/>
    </xf>
    <xf numFmtId="0" fontId="21" fillId="0" borderId="16" xfId="0" applyFont="1" applyBorder="1" applyAlignment="1">
      <alignment horizontal="left" wrapText="1"/>
    </xf>
    <xf numFmtId="43" fontId="2" fillId="0" borderId="0" xfId="1" applyFont="1" applyAlignment="1">
      <alignment horizontal="center"/>
    </xf>
    <xf numFmtId="165" fontId="9" fillId="0" borderId="9" xfId="4" applyFont="1" applyFill="1" applyBorder="1" applyAlignment="1" applyProtection="1">
      <alignment horizontal="center" vertical="center" wrapText="1"/>
      <protection locked="0"/>
    </xf>
    <xf numFmtId="165" fontId="9" fillId="0" borderId="10" xfId="4" applyFont="1" applyFill="1" applyBorder="1" applyAlignment="1" applyProtection="1">
      <alignment horizontal="center" vertical="center" wrapText="1"/>
      <protection locked="0"/>
    </xf>
    <xf numFmtId="49" fontId="13" fillId="0" borderId="12" xfId="6" applyNumberFormat="1" applyFont="1" applyBorder="1" applyAlignment="1" applyProtection="1">
      <alignment horizontal="center" vertical="center" wrapText="1"/>
      <protection locked="0"/>
    </xf>
    <xf numFmtId="49" fontId="13" fillId="0" borderId="0" xfId="6" applyNumberFormat="1" applyFont="1" applyAlignment="1" applyProtection="1">
      <alignment horizontal="center" vertical="center" wrapText="1"/>
      <protection locked="0"/>
    </xf>
    <xf numFmtId="0" fontId="4" fillId="0" borderId="12" xfId="8" applyNumberFormat="1" applyFont="1" applyFill="1" applyBorder="1" applyAlignment="1" applyProtection="1">
      <alignment horizontal="left" vertical="center"/>
      <protection locked="0"/>
    </xf>
    <xf numFmtId="0" fontId="4" fillId="0" borderId="0" xfId="8" applyNumberFormat="1" applyFont="1" applyFill="1" applyBorder="1" applyAlignment="1" applyProtection="1">
      <alignment horizontal="left" vertical="center"/>
      <protection locked="0"/>
    </xf>
    <xf numFmtId="0" fontId="4" fillId="6" borderId="17" xfId="0" applyFont="1" applyFill="1" applyBorder="1" applyAlignment="1" applyProtection="1">
      <alignment horizontal="center" vertical="center"/>
      <protection locked="0"/>
    </xf>
    <xf numFmtId="0" fontId="4" fillId="6" borderId="18" xfId="0" applyFont="1" applyFill="1" applyBorder="1" applyAlignment="1" applyProtection="1">
      <alignment horizontal="center" vertical="center"/>
      <protection locked="0"/>
    </xf>
    <xf numFmtId="0" fontId="4" fillId="6" borderId="19" xfId="0" applyFont="1" applyFill="1" applyBorder="1" applyAlignment="1" applyProtection="1">
      <alignment horizontal="center" vertical="center"/>
      <protection locked="0"/>
    </xf>
    <xf numFmtId="49" fontId="15" fillId="0" borderId="12" xfId="7" applyNumberFormat="1" applyFont="1" applyBorder="1" applyAlignment="1" applyProtection="1">
      <alignment horizontal="left" vertical="center" wrapText="1"/>
      <protection locked="0"/>
    </xf>
    <xf numFmtId="49" fontId="15" fillId="0" borderId="0" xfId="7" applyNumberFormat="1" applyFont="1" applyAlignment="1" applyProtection="1">
      <alignment horizontal="left" vertical="center" wrapText="1"/>
      <protection locked="0"/>
    </xf>
    <xf numFmtId="49" fontId="15" fillId="2" borderId="0" xfId="7" applyNumberFormat="1" applyFont="1" applyFill="1" applyAlignment="1" applyProtection="1">
      <alignment horizontal="left" wrapText="1"/>
      <protection locked="0"/>
    </xf>
    <xf numFmtId="49" fontId="10" fillId="0" borderId="12" xfId="6" applyNumberFormat="1" applyFont="1" applyBorder="1" applyAlignment="1" applyProtection="1">
      <alignment horizontal="center" vertical="center" wrapText="1"/>
      <protection locked="0"/>
    </xf>
    <xf numFmtId="49" fontId="10" fillId="0" borderId="0" xfId="6" applyNumberFormat="1" applyFont="1" applyAlignment="1" applyProtection="1">
      <alignment horizontal="center" vertical="center" wrapText="1"/>
      <protection locked="0"/>
    </xf>
    <xf numFmtId="49" fontId="15" fillId="0" borderId="0" xfId="7" applyNumberFormat="1" applyFont="1" applyAlignment="1" applyProtection="1">
      <alignment horizontal="left" wrapText="1"/>
      <protection locked="0"/>
    </xf>
    <xf numFmtId="49" fontId="10" fillId="0" borderId="0" xfId="7" applyNumberFormat="1" applyFont="1" applyAlignment="1" applyProtection="1">
      <alignment horizontal="center" wrapText="1"/>
      <protection locked="0"/>
    </xf>
    <xf numFmtId="0" fontId="68" fillId="0" borderId="9" xfId="17" applyFont="1" applyBorder="1" applyAlignment="1">
      <alignment horizontal="center"/>
    </xf>
    <xf numFmtId="0" fontId="68" fillId="0" borderId="10" xfId="17" applyFont="1" applyBorder="1" applyAlignment="1">
      <alignment horizontal="center"/>
    </xf>
    <xf numFmtId="0" fontId="64" fillId="0" borderId="12" xfId="17" applyFont="1" applyBorder="1" applyAlignment="1">
      <alignment horizontal="center"/>
    </xf>
    <xf numFmtId="0" fontId="64" fillId="0" borderId="0" xfId="17" applyFont="1" applyAlignment="1">
      <alignment horizontal="center"/>
    </xf>
    <xf numFmtId="0" fontId="69" fillId="0" borderId="12" xfId="17" applyFont="1" applyBorder="1" applyAlignment="1">
      <alignment horizontal="center"/>
    </xf>
    <xf numFmtId="0" fontId="69" fillId="0" borderId="0" xfId="17" applyFont="1" applyAlignment="1">
      <alignment horizontal="center"/>
    </xf>
    <xf numFmtId="0" fontId="40" fillId="0" borderId="0" xfId="17" applyFont="1" applyAlignment="1">
      <alignment horizontal="center"/>
    </xf>
    <xf numFmtId="0" fontId="42" fillId="0" borderId="12" xfId="12" applyNumberFormat="1" applyFont="1" applyFill="1" applyBorder="1" applyAlignment="1" applyProtection="1">
      <alignment horizontal="left" vertical="center" wrapText="1"/>
      <protection locked="0"/>
    </xf>
    <xf numFmtId="0" fontId="42" fillId="0" borderId="0" xfId="12" applyNumberFormat="1" applyFont="1" applyFill="1" applyBorder="1" applyAlignment="1" applyProtection="1">
      <alignment horizontal="left" vertical="center" wrapText="1"/>
      <protection locked="0"/>
    </xf>
    <xf numFmtId="49" fontId="47" fillId="0" borderId="0" xfId="12" applyNumberFormat="1" applyFont="1" applyFill="1" applyBorder="1" applyAlignment="1" applyProtection="1">
      <alignment horizontal="center" vertical="center"/>
      <protection locked="0"/>
    </xf>
    <xf numFmtId="0" fontId="73" fillId="0" borderId="0" xfId="0" applyFont="1" applyAlignment="1">
      <alignment horizontal="center"/>
    </xf>
    <xf numFmtId="49" fontId="60" fillId="0" borderId="12" xfId="11" applyNumberFormat="1" applyFont="1" applyBorder="1" applyAlignment="1" applyProtection="1">
      <alignment horizontal="left" vertical="center" wrapText="1"/>
      <protection locked="0"/>
    </xf>
    <xf numFmtId="49" fontId="60" fillId="0" borderId="0" xfId="11" applyNumberFormat="1" applyFont="1" applyAlignment="1" applyProtection="1">
      <alignment horizontal="left" vertical="center" wrapText="1"/>
      <protection locked="0"/>
    </xf>
    <xf numFmtId="0" fontId="29" fillId="0" borderId="0" xfId="17" applyFont="1" applyAlignment="1">
      <alignment horizontal="center"/>
    </xf>
    <xf numFmtId="0" fontId="71" fillId="0" borderId="0" xfId="17" applyFont="1" applyAlignment="1">
      <alignment horizontal="center"/>
    </xf>
    <xf numFmtId="0" fontId="71" fillId="0" borderId="13" xfId="17" applyFont="1" applyBorder="1" applyAlignment="1">
      <alignment horizontal="center"/>
    </xf>
    <xf numFmtId="0" fontId="62" fillId="0" borderId="51" xfId="12" applyNumberFormat="1" applyFont="1" applyFill="1" applyBorder="1" applyAlignment="1" applyProtection="1">
      <alignment horizontal="left" vertical="center"/>
      <protection locked="0"/>
    </xf>
    <xf numFmtId="0" fontId="62" fillId="0" borderId="52" xfId="12" applyNumberFormat="1" applyFont="1" applyFill="1" applyBorder="1" applyAlignment="1" applyProtection="1">
      <alignment horizontal="left" vertical="center"/>
      <protection locked="0"/>
    </xf>
    <xf numFmtId="39" fontId="47" fillId="0" borderId="52" xfId="17" applyNumberFormat="1" applyFont="1" applyBorder="1" applyAlignment="1">
      <alignment horizontal="center"/>
    </xf>
    <xf numFmtId="22" fontId="71" fillId="0" borderId="52" xfId="17" applyNumberFormat="1" applyFont="1" applyBorder="1" applyAlignment="1">
      <alignment horizontal="center"/>
    </xf>
    <xf numFmtId="22" fontId="71" fillId="0" borderId="53" xfId="17" applyNumberFormat="1" applyFont="1" applyBorder="1" applyAlignment="1">
      <alignment horizontal="center"/>
    </xf>
    <xf numFmtId="0" fontId="24" fillId="0" borderId="12" xfId="6" applyNumberFormat="1" applyFont="1" applyFill="1" applyBorder="1" applyAlignment="1" applyProtection="1">
      <alignment horizontal="center" vertical="top" wrapText="1"/>
      <protection locked="0"/>
    </xf>
    <xf numFmtId="0" fontId="24" fillId="0" borderId="0" xfId="6" applyNumberFormat="1" applyFont="1" applyFill="1" applyBorder="1" applyAlignment="1" applyProtection="1">
      <alignment horizontal="center" vertical="top" wrapText="1"/>
      <protection locked="0"/>
    </xf>
    <xf numFmtId="49" fontId="24" fillId="0" borderId="12" xfId="6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6" applyNumberFormat="1" applyFont="1" applyFill="1" applyBorder="1" applyAlignment="1" applyProtection="1">
      <alignment horizontal="center" vertical="center" wrapText="1"/>
      <protection locked="0"/>
    </xf>
    <xf numFmtId="49" fontId="25" fillId="0" borderId="0" xfId="11" applyNumberFormat="1" applyFont="1" applyFill="1" applyBorder="1" applyAlignment="1" applyProtection="1">
      <alignment horizontal="center" vertical="center" wrapText="1"/>
      <protection locked="0"/>
    </xf>
    <xf numFmtId="0" fontId="26" fillId="0" borderId="12" xfId="12" applyNumberFormat="1" applyFont="1" applyFill="1" applyBorder="1" applyAlignment="1" applyProtection="1">
      <alignment horizontal="left" vertical="center"/>
      <protection locked="0"/>
    </xf>
    <xf numFmtId="0" fontId="26" fillId="0" borderId="0" xfId="12" applyNumberFormat="1" applyFont="1" applyFill="1" applyBorder="1" applyAlignment="1" applyProtection="1">
      <alignment horizontal="left" vertical="center"/>
      <protection locked="0"/>
    </xf>
    <xf numFmtId="49" fontId="25" fillId="0" borderId="0" xfId="11" applyNumberFormat="1" applyFont="1" applyFill="1" applyBorder="1" applyAlignment="1" applyProtection="1">
      <alignment horizontal="center" wrapText="1"/>
      <protection locked="0"/>
    </xf>
    <xf numFmtId="0" fontId="25" fillId="0" borderId="0" xfId="11" applyNumberFormat="1" applyFont="1" applyFill="1" applyBorder="1" applyAlignment="1" applyProtection="1">
      <alignment horizontal="center" wrapText="1"/>
      <protection locked="0"/>
    </xf>
    <xf numFmtId="49" fontId="25" fillId="0" borderId="12" xfId="11" applyNumberFormat="1" applyFont="1" applyFill="1" applyBorder="1" applyAlignment="1" applyProtection="1">
      <alignment horizontal="left" vertical="center" wrapText="1"/>
      <protection locked="0"/>
    </xf>
    <xf numFmtId="49" fontId="25" fillId="0" borderId="0" xfId="11" applyNumberFormat="1" applyFont="1" applyFill="1" applyBorder="1" applyAlignment="1" applyProtection="1">
      <alignment horizontal="left" vertical="center" wrapText="1"/>
      <protection locked="0"/>
    </xf>
    <xf numFmtId="10" fontId="27" fillId="0" borderId="0" xfId="9" applyNumberFormat="1" applyFont="1" applyBorder="1" applyAlignment="1">
      <alignment horizontal="center"/>
    </xf>
    <xf numFmtId="167" fontId="13" fillId="0" borderId="15" xfId="4" applyNumberFormat="1" applyFont="1" applyFill="1" applyBorder="1" applyAlignment="1" applyProtection="1">
      <alignment horizontal="center" wrapText="1"/>
      <protection locked="0"/>
    </xf>
    <xf numFmtId="4" fontId="28" fillId="0" borderId="15" xfId="9" applyNumberFormat="1" applyFont="1" applyBorder="1" applyAlignment="1">
      <alignment horizontal="center" vertical="justify"/>
    </xf>
    <xf numFmtId="4" fontId="13" fillId="0" borderId="15" xfId="10" applyNumberFormat="1" applyFont="1" applyFill="1" applyBorder="1" applyAlignment="1">
      <alignment horizontal="center" vertical="justify"/>
    </xf>
    <xf numFmtId="0" fontId="10" fillId="0" borderId="14" xfId="12" applyNumberFormat="1" applyFont="1" applyFill="1" applyBorder="1" applyAlignment="1" applyProtection="1">
      <alignment horizontal="left" vertical="center"/>
      <protection locked="0"/>
    </xf>
    <xf numFmtId="0" fontId="10" fillId="0" borderId="15" xfId="12" applyNumberFormat="1" applyFont="1" applyFill="1" applyBorder="1" applyAlignment="1" applyProtection="1">
      <alignment horizontal="left" vertical="center"/>
      <protection locked="0"/>
    </xf>
    <xf numFmtId="164" fontId="26" fillId="6" borderId="35" xfId="14" applyFont="1" applyFill="1" applyBorder="1" applyAlignment="1">
      <alignment horizontal="center" vertical="center" wrapText="1"/>
    </xf>
    <xf numFmtId="164" fontId="26" fillId="6" borderId="21" xfId="14" applyFont="1" applyFill="1" applyBorder="1" applyAlignment="1">
      <alignment horizontal="center" vertical="center" wrapText="1"/>
    </xf>
    <xf numFmtId="0" fontId="31" fillId="6" borderId="35" xfId="10" applyFont="1" applyFill="1" applyBorder="1" applyAlignment="1">
      <alignment horizontal="center"/>
    </xf>
    <xf numFmtId="0" fontId="31" fillId="6" borderId="34" xfId="10" applyFont="1" applyFill="1" applyBorder="1" applyAlignment="1">
      <alignment horizontal="center" vertical="center"/>
    </xf>
    <xf numFmtId="0" fontId="31" fillId="6" borderId="20" xfId="10" applyFont="1" applyFill="1" applyBorder="1" applyAlignment="1">
      <alignment horizontal="center" vertical="center"/>
    </xf>
    <xf numFmtId="0" fontId="31" fillId="6" borderId="35" xfId="13" applyFont="1" applyFill="1" applyBorder="1" applyAlignment="1">
      <alignment horizontal="center" vertical="center" wrapText="1"/>
    </xf>
    <xf numFmtId="0" fontId="31" fillId="6" borderId="21" xfId="13" applyFont="1" applyFill="1" applyBorder="1" applyAlignment="1">
      <alignment horizontal="center" vertical="center" wrapText="1"/>
    </xf>
    <xf numFmtId="4" fontId="31" fillId="6" borderId="35" xfId="14" applyNumberFormat="1" applyFont="1" applyFill="1" applyBorder="1" applyAlignment="1">
      <alignment horizontal="center" vertical="center" wrapText="1"/>
    </xf>
    <xf numFmtId="4" fontId="31" fillId="6" borderId="21" xfId="14" applyNumberFormat="1" applyFont="1" applyFill="1" applyBorder="1" applyAlignment="1">
      <alignment horizontal="center" vertical="center" wrapText="1"/>
    </xf>
    <xf numFmtId="164" fontId="31" fillId="6" borderId="35" xfId="14" applyFont="1" applyFill="1" applyBorder="1" applyAlignment="1">
      <alignment horizontal="center" vertical="center" wrapText="1"/>
    </xf>
    <xf numFmtId="164" fontId="31" fillId="6" borderId="21" xfId="14" applyFont="1" applyFill="1" applyBorder="1" applyAlignment="1">
      <alignment horizontal="center" vertical="center" wrapText="1"/>
    </xf>
    <xf numFmtId="164" fontId="17" fillId="6" borderId="35" xfId="14" applyFont="1" applyFill="1" applyBorder="1" applyAlignment="1">
      <alignment horizontal="center" vertical="center" wrapText="1"/>
    </xf>
    <xf numFmtId="164" fontId="17" fillId="6" borderId="21" xfId="14" applyFont="1" applyFill="1" applyBorder="1" applyAlignment="1">
      <alignment horizontal="center" vertical="center" wrapText="1"/>
    </xf>
    <xf numFmtId="49" fontId="25" fillId="0" borderId="0" xfId="11" applyNumberFormat="1" applyFont="1" applyFill="1" applyBorder="1" applyAlignment="1" applyProtection="1">
      <alignment horizontal="center" vertical="center"/>
      <protection locked="0"/>
    </xf>
    <xf numFmtId="167" fontId="13" fillId="0" borderId="0" xfId="4" applyNumberFormat="1" applyFont="1" applyFill="1" applyBorder="1" applyAlignment="1" applyProtection="1">
      <alignment horizontal="center" wrapText="1"/>
      <protection locked="0"/>
    </xf>
    <xf numFmtId="49" fontId="13" fillId="0" borderId="0" xfId="11" applyNumberFormat="1" applyFont="1" applyFill="1" applyBorder="1" applyAlignment="1" applyProtection="1">
      <alignment horizontal="center" wrapText="1"/>
      <protection locked="0"/>
    </xf>
    <xf numFmtId="49" fontId="25" fillId="0" borderId="12" xfId="11" applyNumberFormat="1" applyFont="1" applyFill="1" applyBorder="1" applyAlignment="1" applyProtection="1">
      <alignment horizontal="left" vertical="center"/>
      <protection locked="0"/>
    </xf>
    <xf numFmtId="49" fontId="25" fillId="0" borderId="0" xfId="11" applyNumberFormat="1" applyFont="1" applyFill="1" applyBorder="1" applyAlignment="1" applyProtection="1">
      <alignment horizontal="left" vertical="center"/>
      <protection locked="0"/>
    </xf>
    <xf numFmtId="0" fontId="36" fillId="0" borderId="12" xfId="6" applyNumberFormat="1" applyFont="1" applyFill="1" applyBorder="1" applyAlignment="1" applyProtection="1">
      <alignment horizontal="center" vertical="center" wrapText="1"/>
      <protection locked="0"/>
    </xf>
    <xf numFmtId="0" fontId="36" fillId="0" borderId="0" xfId="6" applyNumberFormat="1" applyFont="1" applyFill="1" applyBorder="1" applyAlignment="1" applyProtection="1">
      <alignment horizontal="center" vertical="center" wrapText="1"/>
      <protection locked="0"/>
    </xf>
    <xf numFmtId="164" fontId="27" fillId="0" borderId="0" xfId="14" applyFont="1" applyBorder="1" applyAlignment="1">
      <alignment horizontal="center" vertical="center"/>
    </xf>
    <xf numFmtId="0" fontId="30" fillId="0" borderId="9" xfId="13" applyFont="1" applyFill="1" applyBorder="1" applyAlignment="1">
      <alignment horizontal="center" vertical="center"/>
    </xf>
    <xf numFmtId="0" fontId="30" fillId="0" borderId="10" xfId="13" applyFont="1" applyFill="1" applyBorder="1" applyAlignment="1">
      <alignment horizontal="center" vertical="center"/>
    </xf>
    <xf numFmtId="0" fontId="30" fillId="0" borderId="11" xfId="13" applyFont="1" applyFill="1" applyBorder="1" applyAlignment="1">
      <alignment horizontal="center" vertical="center"/>
    </xf>
    <xf numFmtId="0" fontId="31" fillId="6" borderId="24" xfId="10" applyFont="1" applyFill="1" applyBorder="1" applyAlignment="1">
      <alignment horizontal="center"/>
    </xf>
    <xf numFmtId="4" fontId="26" fillId="6" borderId="35" xfId="14" applyNumberFormat="1" applyFont="1" applyFill="1" applyBorder="1" applyAlignment="1">
      <alignment horizontal="center" vertical="center" wrapText="1"/>
    </xf>
    <xf numFmtId="4" fontId="26" fillId="6" borderId="21" xfId="14" applyNumberFormat="1" applyFont="1" applyFill="1" applyBorder="1" applyAlignment="1">
      <alignment horizontal="center" vertical="center" wrapText="1"/>
    </xf>
    <xf numFmtId="49" fontId="10" fillId="0" borderId="12" xfId="6" applyNumberFormat="1" applyFont="1" applyFill="1" applyBorder="1" applyAlignment="1" applyProtection="1">
      <alignment horizontal="center" vertical="center" wrapText="1"/>
      <protection locked="0"/>
    </xf>
    <xf numFmtId="49" fontId="10" fillId="0" borderId="0" xfId="6" applyNumberFormat="1" applyFont="1" applyFill="1" applyBorder="1" applyAlignment="1" applyProtection="1">
      <alignment horizontal="center" vertical="center" wrapText="1"/>
      <protection locked="0"/>
    </xf>
    <xf numFmtId="49" fontId="15" fillId="0" borderId="0" xfId="11" applyNumberFormat="1" applyFont="1" applyFill="1" applyBorder="1" applyAlignment="1" applyProtection="1">
      <alignment horizontal="center" wrapText="1"/>
      <protection locked="0"/>
    </xf>
    <xf numFmtId="0" fontId="13" fillId="0" borderId="12" xfId="12" applyNumberFormat="1" applyFont="1" applyFill="1" applyBorder="1" applyAlignment="1" applyProtection="1">
      <alignment horizontal="left" vertical="center" wrapText="1"/>
      <protection locked="0"/>
    </xf>
    <xf numFmtId="0" fontId="13" fillId="0" borderId="0" xfId="12" applyNumberFormat="1" applyFont="1" applyFill="1" applyBorder="1" applyAlignment="1" applyProtection="1">
      <alignment horizontal="left" vertical="center" wrapText="1"/>
      <protection locked="0"/>
    </xf>
    <xf numFmtId="49" fontId="4" fillId="0" borderId="0" xfId="11" applyNumberFormat="1" applyFont="1" applyFill="1" applyBorder="1" applyAlignment="1" applyProtection="1">
      <alignment horizontal="center" wrapText="1"/>
      <protection locked="0"/>
    </xf>
    <xf numFmtId="0" fontId="4" fillId="0" borderId="0" xfId="11" applyNumberFormat="1" applyFont="1" applyFill="1" applyBorder="1" applyAlignment="1" applyProtection="1">
      <alignment horizontal="center" wrapText="1"/>
      <protection locked="0"/>
    </xf>
    <xf numFmtId="49" fontId="15" fillId="0" borderId="12" xfId="11" applyNumberFormat="1" applyFont="1" applyFill="1" applyBorder="1" applyAlignment="1" applyProtection="1">
      <alignment horizontal="left" vertical="center" wrapText="1"/>
      <protection locked="0"/>
    </xf>
    <xf numFmtId="49" fontId="15" fillId="0" borderId="0" xfId="11" applyNumberFormat="1" applyFont="1" applyFill="1" applyBorder="1" applyAlignment="1" applyProtection="1">
      <alignment horizontal="left" vertical="center" wrapText="1"/>
      <protection locked="0"/>
    </xf>
    <xf numFmtId="39" fontId="10" fillId="0" borderId="15" xfId="4" applyNumberFormat="1" applyFont="1" applyFill="1" applyBorder="1" applyAlignment="1" applyProtection="1">
      <alignment horizontal="center" wrapText="1"/>
      <protection locked="0"/>
    </xf>
    <xf numFmtId="0" fontId="42" fillId="10" borderId="9" xfId="17" applyFont="1" applyFill="1" applyBorder="1" applyAlignment="1">
      <alignment horizontal="center" vertical="center"/>
    </xf>
    <xf numFmtId="0" fontId="42" fillId="10" borderId="10" xfId="17" applyFont="1" applyFill="1" applyBorder="1" applyAlignment="1">
      <alignment horizontal="center" vertical="center"/>
    </xf>
    <xf numFmtId="0" fontId="42" fillId="10" borderId="11" xfId="17" applyFont="1" applyFill="1" applyBorder="1" applyAlignment="1">
      <alignment horizontal="center" vertical="center"/>
    </xf>
    <xf numFmtId="0" fontId="42" fillId="10" borderId="14" xfId="17" applyFont="1" applyFill="1" applyBorder="1" applyAlignment="1">
      <alignment horizontal="center" vertical="center"/>
    </xf>
    <xf numFmtId="0" fontId="42" fillId="10" borderId="15" xfId="17" applyFont="1" applyFill="1" applyBorder="1" applyAlignment="1">
      <alignment horizontal="center" vertical="center"/>
    </xf>
    <xf numFmtId="0" fontId="42" fillId="10" borderId="16" xfId="17" applyFont="1" applyFill="1" applyBorder="1" applyAlignment="1">
      <alignment horizontal="center" vertical="center"/>
    </xf>
    <xf numFmtId="0" fontId="46" fillId="0" borderId="0" xfId="17" applyFont="1" applyFill="1" applyBorder="1" applyAlignment="1">
      <alignment horizontal="center" vertical="center" textRotation="90"/>
    </xf>
    <xf numFmtId="0" fontId="47" fillId="10" borderId="26" xfId="17" applyFont="1" applyFill="1" applyBorder="1" applyAlignment="1">
      <alignment horizontal="left" vertical="center" wrapText="1"/>
    </xf>
    <xf numFmtId="0" fontId="47" fillId="10" borderId="29" xfId="17" applyFont="1" applyFill="1" applyBorder="1" applyAlignment="1">
      <alignment horizontal="left" vertical="center" wrapText="1"/>
    </xf>
    <xf numFmtId="0" fontId="47" fillId="10" borderId="36" xfId="17" applyFont="1" applyFill="1" applyBorder="1" applyAlignment="1">
      <alignment horizontal="left" vertical="center"/>
    </xf>
    <xf numFmtId="0" fontId="47" fillId="10" borderId="28" xfId="17" applyFont="1" applyFill="1" applyBorder="1" applyAlignment="1">
      <alignment horizontal="left" vertical="center"/>
    </xf>
    <xf numFmtId="169" fontId="49" fillId="0" borderId="0" xfId="17" applyNumberFormat="1" applyFont="1" applyFill="1" applyBorder="1" applyAlignment="1">
      <alignment horizontal="center" vertical="center"/>
    </xf>
    <xf numFmtId="10" fontId="3" fillId="0" borderId="6" xfId="18" applyNumberFormat="1" applyFont="1" applyBorder="1" applyAlignment="1">
      <alignment horizontal="center" vertical="center"/>
    </xf>
    <xf numFmtId="10" fontId="3" fillId="0" borderId="8" xfId="18" applyNumberFormat="1" applyFont="1" applyBorder="1" applyAlignment="1">
      <alignment horizontal="center" vertical="center"/>
    </xf>
    <xf numFmtId="4" fontId="55" fillId="0" borderId="0" xfId="17" applyNumberFormat="1" applyFont="1" applyAlignment="1">
      <alignment horizontal="center" wrapText="1"/>
    </xf>
    <xf numFmtId="49" fontId="56" fillId="10" borderId="26" xfId="17" applyNumberFormat="1" applyFont="1" applyFill="1" applyBorder="1" applyAlignment="1">
      <alignment horizontal="center" vertical="center"/>
    </xf>
    <xf numFmtId="49" fontId="56" fillId="10" borderId="27" xfId="17" applyNumberFormat="1" applyFont="1" applyFill="1" applyBorder="1" applyAlignment="1">
      <alignment horizontal="center" vertical="center"/>
    </xf>
    <xf numFmtId="49" fontId="56" fillId="10" borderId="29" xfId="17" applyNumberFormat="1" applyFont="1" applyFill="1" applyBorder="1" applyAlignment="1">
      <alignment horizontal="center" vertical="center"/>
    </xf>
    <xf numFmtId="49" fontId="50" fillId="10" borderId="34" xfId="17" applyNumberFormat="1" applyFont="1" applyFill="1" applyBorder="1" applyAlignment="1">
      <alignment horizontal="center" vertical="center" wrapText="1"/>
    </xf>
    <xf numFmtId="49" fontId="50" fillId="10" borderId="35" xfId="17" applyNumberFormat="1" applyFont="1" applyFill="1" applyBorder="1" applyAlignment="1">
      <alignment horizontal="center" vertical="center" wrapText="1"/>
    </xf>
    <xf numFmtId="49" fontId="50" fillId="10" borderId="41" xfId="17" applyNumberFormat="1" applyFont="1" applyFill="1" applyBorder="1" applyAlignment="1">
      <alignment horizontal="center" vertical="center" wrapText="1"/>
    </xf>
    <xf numFmtId="49" fontId="50" fillId="10" borderId="24" xfId="17" applyNumberFormat="1" applyFont="1" applyFill="1" applyBorder="1" applyAlignment="1">
      <alignment horizontal="center" vertical="center" wrapText="1"/>
    </xf>
    <xf numFmtId="49" fontId="50" fillId="10" borderId="1" xfId="17" applyNumberFormat="1" applyFont="1" applyFill="1" applyBorder="1" applyAlignment="1">
      <alignment horizontal="center" vertical="center" wrapText="1"/>
    </xf>
    <xf numFmtId="49" fontId="50" fillId="10" borderId="2" xfId="17" applyNumberFormat="1" applyFont="1" applyFill="1" applyBorder="1" applyAlignment="1">
      <alignment horizontal="center" vertical="center" wrapText="1"/>
    </xf>
    <xf numFmtId="49" fontId="50" fillId="10" borderId="6" xfId="17" applyNumberFormat="1" applyFont="1" applyFill="1" applyBorder="1" applyAlignment="1">
      <alignment horizontal="center" vertical="center" wrapText="1"/>
    </xf>
    <xf numFmtId="49" fontId="50" fillId="10" borderId="3" xfId="17" applyNumberFormat="1" applyFont="1" applyFill="1" applyBorder="1" applyAlignment="1">
      <alignment horizontal="center" vertical="center" wrapText="1"/>
    </xf>
    <xf numFmtId="0" fontId="50" fillId="0" borderId="4" xfId="17" applyFont="1" applyFill="1" applyBorder="1" applyAlignment="1">
      <alignment horizontal="center" vertical="center"/>
    </xf>
    <xf numFmtId="0" fontId="50" fillId="0" borderId="20" xfId="17" applyFont="1" applyFill="1" applyBorder="1" applyAlignment="1">
      <alignment horizontal="center" vertical="center"/>
    </xf>
    <xf numFmtId="0" fontId="50" fillId="0" borderId="5" xfId="17" applyFont="1" applyFill="1" applyBorder="1" applyAlignment="1">
      <alignment horizontal="center" vertical="center"/>
    </xf>
    <xf numFmtId="0" fontId="50" fillId="0" borderId="21" xfId="17" applyFont="1" applyFill="1" applyBorder="1" applyAlignment="1">
      <alignment horizontal="center" vertical="center"/>
    </xf>
    <xf numFmtId="0" fontId="50" fillId="0" borderId="25" xfId="17" applyFont="1" applyFill="1" applyBorder="1" applyAlignment="1">
      <alignment horizontal="center" vertical="center"/>
    </xf>
    <xf numFmtId="0" fontId="50" fillId="0" borderId="22" xfId="17" applyFont="1" applyFill="1" applyBorder="1" applyAlignment="1">
      <alignment horizontal="center" vertical="center"/>
    </xf>
    <xf numFmtId="0" fontId="50" fillId="4" borderId="42" xfId="17" applyFont="1" applyFill="1" applyBorder="1" applyAlignment="1">
      <alignment horizontal="center" vertical="center"/>
    </xf>
    <xf numFmtId="0" fontId="50" fillId="4" borderId="40" xfId="17" applyFont="1" applyFill="1" applyBorder="1" applyAlignment="1">
      <alignment horizontal="center" vertical="center"/>
    </xf>
    <xf numFmtId="0" fontId="3" fillId="0" borderId="12" xfId="17" applyFont="1" applyBorder="1" applyAlignment="1">
      <alignment vertical="center"/>
    </xf>
    <xf numFmtId="0" fontId="3" fillId="0" borderId="0" xfId="17" applyFont="1" applyBorder="1" applyAlignment="1">
      <alignment vertical="center"/>
    </xf>
    <xf numFmtId="0" fontId="47" fillId="0" borderId="35" xfId="17" applyFont="1" applyFill="1" applyBorder="1" applyAlignment="1">
      <alignment horizontal="justify" vertical="center" wrapText="1"/>
    </xf>
    <xf numFmtId="0" fontId="47" fillId="0" borderId="24" xfId="17" applyFont="1" applyFill="1" applyBorder="1" applyAlignment="1">
      <alignment horizontal="justify" vertical="center" wrapText="1"/>
    </xf>
    <xf numFmtId="0" fontId="40" fillId="0" borderId="41" xfId="17" applyFont="1" applyBorder="1" applyAlignment="1">
      <alignment horizontal="center"/>
    </xf>
    <xf numFmtId="0" fontId="40" fillId="0" borderId="43" xfId="17" applyFont="1" applyBorder="1" applyAlignment="1">
      <alignment horizontal="center"/>
    </xf>
    <xf numFmtId="0" fontId="47" fillId="0" borderId="20" xfId="17" applyFont="1" applyFill="1" applyBorder="1" applyAlignment="1">
      <alignment horizontal="right" vertical="center"/>
    </xf>
    <xf numFmtId="0" fontId="47" fillId="0" borderId="21" xfId="17" applyFont="1" applyFill="1" applyBorder="1" applyAlignment="1">
      <alignment horizontal="right" vertical="center"/>
    </xf>
    <xf numFmtId="10" fontId="3" fillId="0" borderId="42" xfId="18" applyNumberFormat="1" applyFont="1" applyBorder="1" applyAlignment="1">
      <alignment horizontal="center" vertical="center"/>
    </xf>
    <xf numFmtId="10" fontId="3" fillId="0" borderId="40" xfId="18" applyNumberFormat="1" applyFont="1" applyBorder="1" applyAlignment="1">
      <alignment horizontal="center" vertical="center"/>
    </xf>
    <xf numFmtId="0" fontId="3" fillId="0" borderId="12" xfId="17" applyFont="1" applyBorder="1" applyAlignment="1">
      <alignment horizontal="center" vertical="center"/>
    </xf>
    <xf numFmtId="0" fontId="3" fillId="0" borderId="0" xfId="17" applyFont="1" applyBorder="1" applyAlignment="1">
      <alignment horizontal="center" vertical="center"/>
    </xf>
    <xf numFmtId="10" fontId="3" fillId="0" borderId="41" xfId="18" applyNumberFormat="1" applyFont="1" applyBorder="1" applyAlignment="1">
      <alignment horizontal="center" vertical="center"/>
    </xf>
    <xf numFmtId="10" fontId="3" fillId="0" borderId="43" xfId="18" applyNumberFormat="1" applyFont="1" applyBorder="1" applyAlignment="1">
      <alignment horizontal="center" vertical="center"/>
    </xf>
    <xf numFmtId="10" fontId="3" fillId="11" borderId="33" xfId="18" applyNumberFormat="1" applyFont="1" applyFill="1" applyBorder="1" applyAlignment="1" applyProtection="1">
      <alignment horizontal="center" vertical="center"/>
      <protection locked="0"/>
    </xf>
    <xf numFmtId="10" fontId="3" fillId="11" borderId="25" xfId="18" applyNumberFormat="1" applyFont="1" applyFill="1" applyBorder="1" applyAlignment="1" applyProtection="1">
      <alignment horizontal="center" vertical="center"/>
      <protection locked="0"/>
    </xf>
    <xf numFmtId="10" fontId="3" fillId="0" borderId="47" xfId="18" applyNumberFormat="1" applyFont="1" applyBorder="1" applyAlignment="1">
      <alignment horizontal="center" vertical="center"/>
    </xf>
    <xf numFmtId="10" fontId="3" fillId="0" borderId="48" xfId="18" applyNumberFormat="1" applyFont="1" applyBorder="1" applyAlignment="1">
      <alignment horizontal="center" vertical="center"/>
    </xf>
    <xf numFmtId="49" fontId="50" fillId="10" borderId="9" xfId="17" applyNumberFormat="1" applyFont="1" applyFill="1" applyBorder="1" applyAlignment="1">
      <alignment horizontal="center" vertical="center" wrapText="1"/>
    </xf>
    <xf numFmtId="49" fontId="50" fillId="10" borderId="10" xfId="17" applyNumberFormat="1" applyFont="1" applyFill="1" applyBorder="1" applyAlignment="1">
      <alignment horizontal="center" vertical="center" wrapText="1"/>
    </xf>
    <xf numFmtId="49" fontId="50" fillId="10" borderId="11" xfId="17" applyNumberFormat="1" applyFont="1" applyFill="1" applyBorder="1" applyAlignment="1">
      <alignment horizontal="center" vertical="center" wrapText="1"/>
    </xf>
    <xf numFmtId="0" fontId="62" fillId="0" borderId="9" xfId="17" applyFont="1" applyBorder="1" applyAlignment="1">
      <alignment horizontal="center" vertical="center"/>
    </xf>
    <xf numFmtId="0" fontId="62" fillId="0" borderId="10" xfId="17" applyFont="1" applyBorder="1" applyAlignment="1">
      <alignment horizontal="center" vertical="center"/>
    </xf>
    <xf numFmtId="0" fontId="62" fillId="0" borderId="14" xfId="17" applyFont="1" applyBorder="1" applyAlignment="1">
      <alignment horizontal="center" vertical="center"/>
    </xf>
    <xf numFmtId="0" fontId="62" fillId="0" borderId="15" xfId="17" applyFont="1" applyBorder="1" applyAlignment="1">
      <alignment horizontal="center" vertical="center"/>
    </xf>
    <xf numFmtId="10" fontId="62" fillId="10" borderId="11" xfId="17" applyNumberFormat="1" applyFont="1" applyFill="1" applyBorder="1" applyAlignment="1">
      <alignment horizontal="center" vertical="center"/>
    </xf>
    <xf numFmtId="10" fontId="62" fillId="10" borderId="16" xfId="17" applyNumberFormat="1" applyFont="1" applyFill="1" applyBorder="1" applyAlignment="1">
      <alignment horizontal="center" vertical="center"/>
    </xf>
    <xf numFmtId="10" fontId="3" fillId="0" borderId="47" xfId="17" applyNumberFormat="1" applyFont="1" applyFill="1" applyBorder="1" applyAlignment="1">
      <alignment horizontal="center" vertical="center"/>
    </xf>
    <xf numFmtId="10" fontId="3" fillId="0" borderId="48" xfId="17" applyNumberFormat="1" applyFont="1" applyFill="1" applyBorder="1" applyAlignment="1">
      <alignment horizontal="center" vertical="center"/>
    </xf>
    <xf numFmtId="49" fontId="13" fillId="0" borderId="12" xfId="6" applyNumberFormat="1" applyFont="1" applyFill="1" applyBorder="1" applyAlignment="1" applyProtection="1">
      <alignment horizontal="center" vertical="center" wrapText="1"/>
      <protection locked="0"/>
    </xf>
    <xf numFmtId="49" fontId="13" fillId="0" borderId="0" xfId="6" applyNumberFormat="1" applyFont="1" applyFill="1" applyBorder="1" applyAlignment="1" applyProtection="1">
      <alignment horizontal="center" vertical="center" wrapText="1"/>
      <protection locked="0"/>
    </xf>
    <xf numFmtId="165" fontId="36" fillId="0" borderId="9" xfId="4" applyFont="1" applyFill="1" applyBorder="1" applyAlignment="1" applyProtection="1">
      <alignment horizontal="center" vertical="center" wrapText="1"/>
      <protection locked="0"/>
    </xf>
    <xf numFmtId="165" fontId="36" fillId="0" borderId="10" xfId="4" applyFont="1" applyFill="1" applyBorder="1" applyAlignment="1" applyProtection="1">
      <alignment horizontal="center" vertical="center" wrapText="1"/>
      <protection locked="0"/>
    </xf>
    <xf numFmtId="10" fontId="3" fillId="0" borderId="0" xfId="18" applyNumberFormat="1" applyFont="1" applyBorder="1" applyAlignment="1">
      <alignment horizontal="center" vertical="center"/>
    </xf>
    <xf numFmtId="164" fontId="47" fillId="10" borderId="34" xfId="17" applyNumberFormat="1" applyFont="1" applyFill="1" applyBorder="1" applyAlignment="1">
      <alignment horizontal="center" vertical="center" wrapText="1"/>
    </xf>
    <xf numFmtId="164" fontId="47" fillId="10" borderId="35" xfId="17" applyNumberFormat="1" applyFont="1" applyFill="1" applyBorder="1" applyAlignment="1">
      <alignment horizontal="center" vertical="center" wrapText="1"/>
    </xf>
    <xf numFmtId="164" fontId="47" fillId="10" borderId="24" xfId="17" applyNumberFormat="1" applyFont="1" applyFill="1" applyBorder="1" applyAlignment="1">
      <alignment horizontal="center" vertical="center" wrapText="1"/>
    </xf>
    <xf numFmtId="164" fontId="47" fillId="10" borderId="1" xfId="17" applyNumberFormat="1" applyFont="1" applyFill="1" applyBorder="1" applyAlignment="1">
      <alignment horizontal="center" vertical="center" wrapText="1"/>
    </xf>
    <xf numFmtId="164" fontId="47" fillId="10" borderId="2" xfId="17" applyNumberFormat="1" applyFont="1" applyFill="1" applyBorder="1" applyAlignment="1">
      <alignment horizontal="center" vertical="center" wrapText="1"/>
    </xf>
    <xf numFmtId="164" fontId="47" fillId="10" borderId="3" xfId="17" applyNumberFormat="1" applyFont="1" applyFill="1" applyBorder="1" applyAlignment="1">
      <alignment horizontal="center" vertical="center" wrapText="1"/>
    </xf>
    <xf numFmtId="0" fontId="3" fillId="0" borderId="12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 vertical="center"/>
    </xf>
    <xf numFmtId="0" fontId="47" fillId="0" borderId="9" xfId="17" applyFont="1" applyFill="1" applyBorder="1" applyAlignment="1">
      <alignment horizontal="center" vertical="center"/>
    </xf>
    <xf numFmtId="0" fontId="47" fillId="0" borderId="10" xfId="17" applyFont="1" applyFill="1" applyBorder="1" applyAlignment="1">
      <alignment horizontal="center" vertical="center"/>
    </xf>
    <xf numFmtId="0" fontId="47" fillId="0" borderId="11" xfId="17" applyFont="1" applyFill="1" applyBorder="1" applyAlignment="1">
      <alignment horizontal="center" vertical="center"/>
    </xf>
    <xf numFmtId="0" fontId="47" fillId="0" borderId="14" xfId="17" applyFont="1" applyFill="1" applyBorder="1" applyAlignment="1">
      <alignment horizontal="center" vertical="center"/>
    </xf>
    <xf numFmtId="0" fontId="47" fillId="0" borderId="15" xfId="17" applyFont="1" applyFill="1" applyBorder="1" applyAlignment="1">
      <alignment horizontal="center" vertical="center"/>
    </xf>
    <xf numFmtId="0" fontId="47" fillId="0" borderId="16" xfId="17" applyFont="1" applyFill="1" applyBorder="1" applyAlignment="1">
      <alignment horizontal="center" vertical="center"/>
    </xf>
    <xf numFmtId="0" fontId="50" fillId="4" borderId="21" xfId="17" applyFont="1" applyFill="1" applyBorder="1" applyAlignment="1">
      <alignment horizontal="center" vertical="center"/>
    </xf>
    <xf numFmtId="10" fontId="46" fillId="0" borderId="31" xfId="18" applyNumberFormat="1" applyFont="1" applyBorder="1" applyAlignment="1">
      <alignment horizontal="center" vertical="center" wrapText="1"/>
    </xf>
    <xf numFmtId="10" fontId="46" fillId="0" borderId="44" xfId="18" applyNumberFormat="1" applyFont="1" applyBorder="1" applyAlignment="1">
      <alignment horizontal="center" vertical="center" wrapText="1"/>
    </xf>
    <xf numFmtId="0" fontId="61" fillId="0" borderId="32" xfId="17" applyFont="1" applyBorder="1" applyAlignment="1">
      <alignment horizontal="center" vertical="center" wrapText="1"/>
    </xf>
    <xf numFmtId="0" fontId="61" fillId="0" borderId="45" xfId="17" applyFont="1" applyBorder="1" applyAlignment="1">
      <alignment horizontal="center" vertical="center" wrapText="1"/>
    </xf>
    <xf numFmtId="0" fontId="61" fillId="0" borderId="33" xfId="17" applyFont="1" applyBorder="1" applyAlignment="1">
      <alignment horizontal="center" vertical="center" wrapText="1"/>
    </xf>
    <xf numFmtId="0" fontId="61" fillId="0" borderId="46" xfId="17" applyFont="1" applyBorder="1" applyAlignment="1">
      <alignment horizontal="center" vertical="center" wrapText="1"/>
    </xf>
    <xf numFmtId="0" fontId="3" fillId="0" borderId="31" xfId="17" applyFont="1" applyBorder="1" applyAlignment="1">
      <alignment horizontal="center" vertical="center"/>
    </xf>
    <xf numFmtId="0" fontId="3" fillId="0" borderId="4" xfId="17" applyFont="1" applyBorder="1" applyAlignment="1">
      <alignment horizontal="center" vertical="center"/>
    </xf>
    <xf numFmtId="0" fontId="3" fillId="0" borderId="32" xfId="17" applyFont="1" applyFill="1" applyBorder="1" applyAlignment="1">
      <alignment horizontal="left" vertical="center"/>
    </xf>
    <xf numFmtId="0" fontId="3" fillId="0" borderId="5" xfId="17" applyFont="1" applyFill="1" applyBorder="1" applyAlignment="1">
      <alignment horizontal="left" vertical="center"/>
    </xf>
    <xf numFmtId="165" fontId="36" fillId="0" borderId="0" xfId="4" applyFont="1" applyFill="1" applyBorder="1" applyAlignment="1" applyProtection="1">
      <alignment horizontal="center" vertical="center" wrapText="1"/>
      <protection locked="0"/>
    </xf>
    <xf numFmtId="49" fontId="10" fillId="0" borderId="0" xfId="11" applyNumberFormat="1" applyFont="1" applyFill="1" applyBorder="1" applyAlignment="1" applyProtection="1">
      <alignment horizontal="center" wrapText="1"/>
      <protection locked="0"/>
    </xf>
    <xf numFmtId="0" fontId="10" fillId="0" borderId="0" xfId="11" applyNumberFormat="1" applyFont="1" applyFill="1" applyBorder="1" applyAlignment="1" applyProtection="1">
      <alignment horizontal="center" wrapText="1"/>
      <protection locked="0"/>
    </xf>
    <xf numFmtId="39" fontId="10" fillId="0" borderId="0" xfId="4" applyNumberFormat="1" applyFont="1" applyFill="1" applyBorder="1" applyAlignment="1" applyProtection="1">
      <alignment horizontal="center" wrapText="1"/>
      <protection locked="0"/>
    </xf>
    <xf numFmtId="0" fontId="66" fillId="0" borderId="26" xfId="2" applyFont="1" applyBorder="1" applyAlignment="1">
      <alignment horizontal="center" wrapText="1"/>
    </xf>
    <xf numFmtId="0" fontId="66" fillId="0" borderId="27" xfId="2" applyFont="1" applyBorder="1" applyAlignment="1">
      <alignment horizontal="center" wrapText="1"/>
    </xf>
    <xf numFmtId="0" fontId="66" fillId="0" borderId="29" xfId="2" applyFont="1" applyBorder="1" applyAlignment="1">
      <alignment horizontal="center" wrapText="1"/>
    </xf>
    <xf numFmtId="0" fontId="62" fillId="0" borderId="26" xfId="2" applyFont="1" applyBorder="1" applyAlignment="1">
      <alignment horizontal="center"/>
    </xf>
    <xf numFmtId="0" fontId="62" fillId="0" borderId="27" xfId="2" applyFont="1" applyBorder="1" applyAlignment="1">
      <alignment horizontal="center"/>
    </xf>
    <xf numFmtId="0" fontId="62" fillId="0" borderId="29" xfId="2" applyFont="1" applyBorder="1" applyAlignment="1">
      <alignment horizontal="center"/>
    </xf>
    <xf numFmtId="0" fontId="3" fillId="0" borderId="49" xfId="2" applyFont="1" applyFill="1" applyBorder="1" applyAlignment="1">
      <alignment horizontal="center" wrapText="1"/>
    </xf>
    <xf numFmtId="0" fontId="3" fillId="0" borderId="50" xfId="2" applyFill="1" applyBorder="1" applyAlignment="1">
      <alignment horizontal="center" wrapText="1"/>
    </xf>
    <xf numFmtId="0" fontId="62" fillId="0" borderId="9" xfId="2" applyFont="1" applyFill="1" applyBorder="1" applyAlignment="1">
      <alignment horizontal="center"/>
    </xf>
    <xf numFmtId="0" fontId="62" fillId="0" borderId="10" xfId="2" applyFont="1" applyFill="1" applyBorder="1" applyAlignment="1">
      <alignment horizontal="center"/>
    </xf>
    <xf numFmtId="0" fontId="62" fillId="0" borderId="11" xfId="2" applyFont="1" applyFill="1" applyBorder="1" applyAlignment="1">
      <alignment horizontal="center"/>
    </xf>
    <xf numFmtId="0" fontId="3" fillId="0" borderId="34" xfId="2" applyFont="1" applyFill="1" applyBorder="1" applyAlignment="1">
      <alignment horizontal="center"/>
    </xf>
    <xf numFmtId="0" fontId="3" fillId="0" borderId="35" xfId="2" applyFill="1" applyBorder="1" applyAlignment="1">
      <alignment horizontal="center"/>
    </xf>
    <xf numFmtId="0" fontId="3" fillId="0" borderId="35" xfId="2" applyFont="1" applyFill="1" applyBorder="1" applyAlignment="1">
      <alignment horizontal="left"/>
    </xf>
    <xf numFmtId="0" fontId="60" fillId="0" borderId="9" xfId="2" applyFont="1" applyFill="1" applyBorder="1" applyAlignment="1">
      <alignment horizontal="center" vertical="center"/>
    </xf>
    <xf numFmtId="0" fontId="60" fillId="0" borderId="11" xfId="2" applyFont="1" applyFill="1" applyBorder="1" applyAlignment="1">
      <alignment horizontal="center" vertical="center"/>
    </xf>
    <xf numFmtId="0" fontId="60" fillId="0" borderId="12" xfId="2" applyFont="1" applyFill="1" applyBorder="1" applyAlignment="1">
      <alignment horizontal="center" vertical="center"/>
    </xf>
    <xf numFmtId="0" fontId="60" fillId="0" borderId="13" xfId="2" applyFont="1" applyFill="1" applyBorder="1" applyAlignment="1">
      <alignment horizontal="center" vertical="center"/>
    </xf>
    <xf numFmtId="0" fontId="60" fillId="0" borderId="14" xfId="2" applyFont="1" applyFill="1" applyBorder="1" applyAlignment="1">
      <alignment horizontal="center" vertical="center"/>
    </xf>
    <xf numFmtId="0" fontId="60" fillId="0" borderId="16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10" xfId="2" applyFill="1" applyBorder="1" applyAlignment="1">
      <alignment horizontal="center" vertical="center"/>
    </xf>
    <xf numFmtId="0" fontId="3" fillId="0" borderId="12" xfId="2" applyFill="1" applyBorder="1" applyAlignment="1">
      <alignment horizontal="center" vertical="center"/>
    </xf>
    <xf numFmtId="0" fontId="3" fillId="0" borderId="0" xfId="2" applyFill="1" applyBorder="1" applyAlignment="1">
      <alignment horizontal="center" vertical="center"/>
    </xf>
    <xf numFmtId="0" fontId="3" fillId="0" borderId="14" xfId="2" applyFill="1" applyBorder="1" applyAlignment="1">
      <alignment horizontal="center" vertical="center"/>
    </xf>
    <xf numFmtId="0" fontId="3" fillId="0" borderId="15" xfId="2" applyFill="1" applyBorder="1" applyAlignment="1">
      <alignment horizontal="center" vertical="center"/>
    </xf>
    <xf numFmtId="0" fontId="3" fillId="0" borderId="26" xfId="2" applyFont="1" applyFill="1" applyBorder="1" applyAlignment="1">
      <alignment horizontal="center"/>
    </xf>
    <xf numFmtId="0" fontId="3" fillId="0" borderId="29" xfId="2" applyFont="1" applyFill="1" applyBorder="1" applyAlignment="1">
      <alignment horizontal="center"/>
    </xf>
    <xf numFmtId="0" fontId="3" fillId="0" borderId="29" xfId="2" applyFill="1" applyBorder="1" applyAlignment="1">
      <alignment horizontal="center"/>
    </xf>
    <xf numFmtId="0" fontId="3" fillId="0" borderId="1" xfId="2" applyFont="1" applyFill="1" applyBorder="1" applyAlignment="1">
      <alignment horizontal="center"/>
    </xf>
    <xf numFmtId="0" fontId="3" fillId="0" borderId="2" xfId="2" applyFill="1" applyBorder="1" applyAlignment="1">
      <alignment horizontal="center"/>
    </xf>
    <xf numFmtId="0" fontId="3" fillId="0" borderId="2" xfId="2" applyFont="1" applyFill="1" applyBorder="1" applyAlignment="1">
      <alignment horizontal="left"/>
    </xf>
    <xf numFmtId="0" fontId="3" fillId="0" borderId="20" xfId="2" applyFont="1" applyFill="1" applyBorder="1" applyAlignment="1">
      <alignment horizontal="center"/>
    </xf>
    <xf numFmtId="0" fontId="3" fillId="0" borderId="21" xfId="2" applyFill="1" applyBorder="1" applyAlignment="1">
      <alignment horizontal="center"/>
    </xf>
    <xf numFmtId="0" fontId="3" fillId="0" borderId="21" xfId="2" applyFont="1" applyFill="1" applyBorder="1" applyAlignment="1">
      <alignment horizontal="left"/>
    </xf>
    <xf numFmtId="0" fontId="62" fillId="0" borderId="14" xfId="2" applyFont="1" applyFill="1" applyBorder="1" applyAlignment="1">
      <alignment horizontal="center"/>
    </xf>
    <xf numFmtId="0" fontId="62" fillId="0" borderId="15" xfId="2" applyFont="1" applyFill="1" applyBorder="1" applyAlignment="1">
      <alignment horizontal="center"/>
    </xf>
    <xf numFmtId="0" fontId="3" fillId="0" borderId="21" xfId="2" applyFont="1" applyFill="1" applyBorder="1" applyAlignment="1">
      <alignment horizontal="left" vertical="center" wrapText="1"/>
    </xf>
    <xf numFmtId="0" fontId="62" fillId="0" borderId="26" xfId="2" applyFont="1" applyFill="1" applyBorder="1" applyAlignment="1">
      <alignment horizontal="center"/>
    </xf>
    <xf numFmtId="0" fontId="62" fillId="0" borderId="27" xfId="2" applyFont="1" applyFill="1" applyBorder="1" applyAlignment="1">
      <alignment horizontal="center"/>
    </xf>
    <xf numFmtId="4" fontId="84" fillId="16" borderId="6" xfId="0" applyNumberFormat="1" applyFont="1" applyFill="1" applyBorder="1" applyAlignment="1">
      <alignment horizontal="center" wrapText="1"/>
    </xf>
    <xf numFmtId="4" fontId="84" fillId="16" borderId="7" xfId="0" applyNumberFormat="1" applyFont="1" applyFill="1" applyBorder="1" applyAlignment="1">
      <alignment horizontal="center" wrapText="1"/>
    </xf>
    <xf numFmtId="4" fontId="84" fillId="16" borderId="8" xfId="0" applyNumberFormat="1" applyFont="1" applyFill="1" applyBorder="1" applyAlignment="1">
      <alignment horizontal="center" wrapText="1"/>
    </xf>
    <xf numFmtId="4" fontId="84" fillId="16" borderId="2" xfId="0" applyNumberFormat="1" applyFont="1" applyFill="1" applyBorder="1" applyAlignment="1">
      <alignment horizontal="center"/>
    </xf>
    <xf numFmtId="0" fontId="84" fillId="16" borderId="2" xfId="0" applyFont="1" applyFill="1" applyBorder="1" applyAlignment="1">
      <alignment horizontal="center"/>
    </xf>
    <xf numFmtId="0" fontId="84" fillId="5" borderId="55" xfId="0" applyFont="1" applyFill="1" applyBorder="1" applyAlignment="1">
      <alignment horizontal="center"/>
    </xf>
  </cellXfs>
  <cellStyles count="22">
    <cellStyle name="Hyperlink" xfId="21" builtinId="8"/>
    <cellStyle name="Moeda 2 2" xfId="4"/>
    <cellStyle name="Normal" xfId="0" builtinId="0"/>
    <cellStyle name="Normal 10 2" xfId="10"/>
    <cellStyle name="Normal 2" xfId="16"/>
    <cellStyle name="Normal 2 2" xfId="2"/>
    <cellStyle name="Normal 2 2 3" xfId="20"/>
    <cellStyle name="Normal 4 11" xfId="7"/>
    <cellStyle name="Normal 4 2 2" xfId="11"/>
    <cellStyle name="Normal 4 3" xfId="6"/>
    <cellStyle name="Normal 5" xfId="15"/>
    <cellStyle name="Normal 6" xfId="17"/>
    <cellStyle name="Normal_Pesquisa no referencial 10 de maio de 2013" xfId="19"/>
    <cellStyle name="Normal_Relação de material_ESTACIONAMENTO_PAF_I" xfId="13"/>
    <cellStyle name="Porcentagem" xfId="5" builtinId="5"/>
    <cellStyle name="Porcentagem 2" xfId="9"/>
    <cellStyle name="Separador de milhares" xfId="1" builtinId="3"/>
    <cellStyle name="Separador de milhares 2 2" xfId="3"/>
    <cellStyle name="Separador de milhares 3" xfId="8"/>
    <cellStyle name="Separador de milhares 3 2" xfId="12"/>
    <cellStyle name="Vírgula 2" xfId="14"/>
    <cellStyle name="Vírgula 6 2" xfId="18"/>
  </cellStyles>
  <dxfs count="34">
    <dxf>
      <font>
        <b/>
        <i val="0"/>
        <condense val="0"/>
        <extend val="0"/>
        <color indexed="1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6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HISTOGRAMA DA DISPONIBILIZAÇÃO DE RECURSOS</a:t>
            </a:r>
          </a:p>
        </c:rich>
      </c:tx>
      <c:layout>
        <c:manualLayout>
          <c:xMode val="edge"/>
          <c:yMode val="edge"/>
          <c:x val="0.36875013281950031"/>
          <c:y val="3.030309735873179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5.6878147029204426E-3"/>
          <c:y val="0.103326756286612"/>
          <c:w val="0.98743748807322718"/>
          <c:h val="0.64303773503721851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90"/>
              </a:solidFill>
              <a:prstDash val="solid"/>
            </a:ln>
          </c:spPr>
          <c:marker>
            <c:symbol val="none"/>
          </c:marker>
          <c:dLbls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800" b="1" i="1" u="none" strike="noStrike" baseline="0">
                    <a:solidFill>
                      <a:srgbClr val="00000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pt-BR"/>
              </a:p>
            </c:txPr>
            <c:dLblPos val="ctr"/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CRONOGRAMA!$V$11:$V$14</c:f>
              <c:numCache>
                <c:formatCode>General</c:formatCode>
                <c:ptCount val="4"/>
                <c:pt idx="0">
                  <c:v>30</c:v>
                </c:pt>
                <c:pt idx="1">
                  <c:v>60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10E-4396-B8DA-7C3189E3ED12}"/>
            </c:ext>
          </c:extLst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1"/>
              <c:layout>
                <c:manualLayout>
                  <c:x val="-2.0918460721110831E-2"/>
                  <c:y val="-9.523809523809551E-2"/>
                </c:manualLayout>
              </c:layout>
              <c:dLblPos val="r"/>
              <c:showVal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907-437B-9E34-1B77A66ADCD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0" sourceLinked="0"/>
            <c:spPr>
              <a:noFill/>
              <a:ln w="12700">
                <a:solidFill>
                  <a:srgbClr val="C0C0C0"/>
                </a:solidFill>
                <a:prstDash val="solid"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0" b="1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ctr"/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CRONOGRAMA!$W$11:$W$14</c:f>
              <c:numCache>
                <c:formatCode>_-* #,##0.00_-;\-* #,##0.00_-;_-* "-"??_-;_-@_-</c:formatCode>
                <c:ptCount val="4"/>
                <c:pt idx="0">
                  <c:v>44323.718572664468</c:v>
                </c:pt>
                <c:pt idx="1">
                  <c:v>76602.718927335532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510E-4396-B8DA-7C3189E3ED12}"/>
            </c:ext>
          </c:extLst>
        </c:ser>
        <c:dropLines>
          <c:spPr>
            <a:ln w="3175">
              <a:solidFill>
                <a:srgbClr val="000000"/>
              </a:solidFill>
              <a:prstDash val="solid"/>
            </a:ln>
          </c:spPr>
        </c:dropLine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gradFill rotWithShape="0">
                <a:gsLst>
                  <a:gs pos="0">
                    <a:srgbClr val="FFFFFF"/>
                  </a:gs>
                  <a:gs pos="100000">
                    <a:srgbClr val="000000"/>
                  </a:gs>
                </a:gsLst>
                <a:path path="rect">
                  <a:fillToRect r="100000" b="100000"/>
                </a:path>
              </a:gradFill>
              <a:ln w="3175">
                <a:solidFill>
                  <a:srgbClr val="C0C0C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axId val="125015168"/>
        <c:axId val="125016704"/>
      </c:lineChart>
      <c:catAx>
        <c:axId val="125015168"/>
        <c:scaling>
          <c:orientation val="minMax"/>
        </c:scaling>
        <c:delete val="1"/>
        <c:axPos val="b"/>
        <c:tickLblPos val="none"/>
        <c:crossAx val="125016704"/>
        <c:crossesAt val="0"/>
        <c:lblAlgn val="ctr"/>
        <c:lblOffset val="100"/>
      </c:catAx>
      <c:valAx>
        <c:axId val="125016704"/>
        <c:scaling>
          <c:orientation val="minMax"/>
          <c:max val="250000"/>
          <c:min val="0"/>
        </c:scaling>
        <c:delete val="1"/>
        <c:axPos val="l"/>
        <c:numFmt formatCode="General" sourceLinked="1"/>
        <c:tickLblPos val="none"/>
        <c:crossAx val="125015168"/>
        <c:crosses val="autoZero"/>
        <c:crossBetween val="between"/>
        <c:majorUnit val="100000"/>
        <c:minorUnit val="20000"/>
      </c:valAx>
      <c:spPr>
        <a:solidFill>
          <a:srgbClr val="FFFFFF"/>
        </a:solidFill>
        <a:ln w="25400">
          <a:solidFill>
            <a:srgbClr val="666699"/>
          </a:solidFill>
          <a:prstDash val="solid"/>
        </a:ln>
        <a:effectLst>
          <a:outerShdw dist="35921" dir="2700000" algn="br">
            <a:srgbClr val="000000"/>
          </a:outerShdw>
        </a:effectLst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20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PERCENTUAIS DOS SERVIÇOS</a:t>
            </a:r>
          </a:p>
        </c:rich>
      </c:tx>
      <c:layout>
        <c:manualLayout>
          <c:xMode val="edge"/>
          <c:yMode val="edge"/>
          <c:x val="0.42297178922961676"/>
          <c:y val="2.759750228477020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518098945522779E-3"/>
          <c:y val="0.13452617400303418"/>
          <c:w val="0.98365286238481464"/>
          <c:h val="0.7569123284267105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38100">
              <a:solidFill>
                <a:srgbClr val="000000"/>
              </a:solidFill>
              <a:prstDash val="lgDash"/>
            </a:ln>
          </c:spPr>
          <c:dLbls>
            <c:spPr>
              <a:noFill/>
              <a:ln>
                <a:noFill/>
              </a:ln>
              <a:effectLst/>
            </c:spPr>
            <c:dLblPos val="outEnd"/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CRONOGRAMA!$B$11:$B$26</c:f>
              <c:strCache>
                <c:ptCount val="16"/>
                <c:pt idx="0">
                  <c:v>DEMOLIÇÕES / REMOÇÕES</c:v>
                </c:pt>
                <c:pt idx="1">
                  <c:v>ALVENARIA</c:v>
                </c:pt>
                <c:pt idx="2">
                  <c:v>BANCADAS</c:v>
                </c:pt>
                <c:pt idx="3">
                  <c:v>FORRO</c:v>
                </c:pt>
                <c:pt idx="4">
                  <c:v>ESQUADRIAS E DIVISÓRIAS</c:v>
                </c:pt>
                <c:pt idx="5">
                  <c:v>RECUPERAÇÃO GRADE FERRO</c:v>
                </c:pt>
                <c:pt idx="6">
                  <c:v>REVESTIMENTO</c:v>
                </c:pt>
                <c:pt idx="7">
                  <c:v>CONCRETO E PAVIMENTAÇÃO</c:v>
                </c:pt>
                <c:pt idx="8">
                  <c:v>PINTURA</c:v>
                </c:pt>
                <c:pt idx="9">
                  <c:v>INST. HIDROSSANITÁRIAS</c:v>
                </c:pt>
                <c:pt idx="10">
                  <c:v>LOUÇAS E METAIS SANITÁRIOS</c:v>
                </c:pt>
                <c:pt idx="11">
                  <c:v>INST. ELÉTRICAS</c:v>
                </c:pt>
                <c:pt idx="12">
                  <c:v>RECUPERAÇÃO ESTRUTURAL</c:v>
                </c:pt>
                <c:pt idx="13">
                  <c:v>OUTROS SERVIÇOS</c:v>
                </c:pt>
                <c:pt idx="14">
                  <c:v>REDE LÓGICA</c:v>
                </c:pt>
                <c:pt idx="15">
                  <c:v>SERVIÇOS FINAIS E DESMOBILIZAÇÃO</c:v>
                </c:pt>
              </c:strCache>
            </c:strRef>
          </c:cat>
          <c:val>
            <c:numRef>
              <c:f>CRONOGRAMA!$D$11:$D$26</c:f>
              <c:numCache>
                <c:formatCode>0.00%</c:formatCode>
                <c:ptCount val="16"/>
                <c:pt idx="0">
                  <c:v>1.3712262051877611E-2</c:v>
                </c:pt>
                <c:pt idx="1">
                  <c:v>3.4305256863289307E-2</c:v>
                </c:pt>
                <c:pt idx="2">
                  <c:v>5.993726557933207E-3</c:v>
                </c:pt>
                <c:pt idx="3">
                  <c:v>0.17443125288463077</c:v>
                </c:pt>
                <c:pt idx="4">
                  <c:v>0.21877567095284686</c:v>
                </c:pt>
                <c:pt idx="5">
                  <c:v>7.5169666682688813E-4</c:v>
                </c:pt>
                <c:pt idx="6">
                  <c:v>4.7779564332241245E-2</c:v>
                </c:pt>
                <c:pt idx="7">
                  <c:v>3.6392993054145005E-3</c:v>
                </c:pt>
                <c:pt idx="8">
                  <c:v>9.6772469626420596E-2</c:v>
                </c:pt>
                <c:pt idx="9">
                  <c:v>5.6279049814892627E-3</c:v>
                </c:pt>
                <c:pt idx="10">
                  <c:v>9.7221296211591444E-3</c:v>
                </c:pt>
                <c:pt idx="11">
                  <c:v>5.6567241551294362E-2</c:v>
                </c:pt>
                <c:pt idx="12">
                  <c:v>2.5066582317865772E-2</c:v>
                </c:pt>
                <c:pt idx="13">
                  <c:v>6.2552491881686352E-3</c:v>
                </c:pt>
                <c:pt idx="14">
                  <c:v>5.4041119006751519E-4</c:v>
                </c:pt>
                <c:pt idx="15">
                  <c:v>1.6248514722018499E-2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50C-4C81-8DE5-738C32416875}"/>
            </c:ext>
          </c:extLst>
        </c:ser>
        <c:overlap val="50"/>
        <c:axId val="125027840"/>
        <c:axId val="125029376"/>
      </c:barChart>
      <c:catAx>
        <c:axId val="125027840"/>
        <c:scaling>
          <c:orientation val="minMax"/>
        </c:scaling>
        <c:axPos val="b"/>
        <c:numFmt formatCode="0.0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pt-BR"/>
          </a:p>
        </c:txPr>
        <c:crossAx val="125029376"/>
        <c:crosses val="autoZero"/>
        <c:auto val="1"/>
        <c:lblAlgn val="ctr"/>
        <c:lblOffset val="100"/>
      </c:catAx>
      <c:valAx>
        <c:axId val="125029376"/>
        <c:scaling>
          <c:orientation val="minMax"/>
        </c:scaling>
        <c:delete val="1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0%" sourceLinked="1"/>
        <c:tickLblPos val="none"/>
        <c:crossAx val="125027840"/>
        <c:crossesAt val="1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054" footer="0.49212598500000054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20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CURVA S
</a:t>
            </a:r>
          </a:p>
        </c:rich>
      </c:tx>
      <c:layout>
        <c:manualLayout>
          <c:xMode val="edge"/>
          <c:yMode val="edge"/>
          <c:x val="0.42297182465451488"/>
          <c:y val="2.759742241522139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518098945522779E-3"/>
          <c:y val="0.13452617400303418"/>
          <c:w val="0.98365286238481464"/>
          <c:h val="0.75691232842671052"/>
        </c:manualLayout>
      </c:layout>
      <c:lineChart>
        <c:grouping val="standard"/>
        <c:ser>
          <c:idx val="0"/>
          <c:order val="0"/>
          <c:spPr>
            <a:ln w="38100">
              <a:solidFill>
                <a:srgbClr val="000000"/>
              </a:solidFill>
              <a:prstDash val="lgDash"/>
            </a:ln>
          </c:spPr>
          <c:marker>
            <c:symbol val="none"/>
          </c:marker>
          <c:dLbls>
            <c:spPr>
              <a:gradFill rotWithShape="0">
                <a:gsLst>
                  <a:gs pos="0">
                    <a:srgbClr val="9AB5E4"/>
                  </a:gs>
                  <a:gs pos="50000">
                    <a:srgbClr val="C2D1ED"/>
                  </a:gs>
                  <a:gs pos="100000">
                    <a:srgbClr val="E1E8F5"/>
                  </a:gs>
                </a:gsLst>
                <a:lin ang="5400000"/>
              </a:gradFill>
              <a:ln w="25400">
                <a:solidFill>
                  <a:srgbClr val="99CCFF"/>
                </a:solidFill>
                <a:prstDash val="solid"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0" b="1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CRONOGRAMA!$X$11:$X$14</c:f>
              <c:numCache>
                <c:formatCode>0.00%</c:formatCode>
                <c:ptCount val="4"/>
                <c:pt idx="0">
                  <c:v>0.36653456009290325</c:v>
                </c:pt>
                <c:pt idx="1">
                  <c:v>0.99999999999999978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0A-48B8-8C98-3EC50B1E8BA2}"/>
            </c:ext>
          </c:extLst>
        </c:ser>
        <c:marker val="1"/>
        <c:axId val="127502976"/>
        <c:axId val="127512960"/>
      </c:lineChart>
      <c:catAx>
        <c:axId val="127502976"/>
        <c:scaling>
          <c:orientation val="minMax"/>
        </c:scaling>
        <c:axPos val="b"/>
        <c:numFmt formatCode="General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400" b="1" i="1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pt-BR"/>
          </a:p>
        </c:txPr>
        <c:crossAx val="127512960"/>
        <c:crosses val="autoZero"/>
        <c:auto val="1"/>
        <c:lblAlgn val="ctr"/>
        <c:lblOffset val="100"/>
      </c:catAx>
      <c:valAx>
        <c:axId val="127512960"/>
        <c:scaling>
          <c:orientation val="minMax"/>
        </c:scaling>
        <c:delete val="1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0%" sourceLinked="1"/>
        <c:tickLblPos val="none"/>
        <c:crossAx val="127502976"/>
        <c:crossesAt val="1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054" footer="0.4921259850000005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167216</xdr:colOff>
      <xdr:row>0</xdr:row>
      <xdr:rowOff>139700</xdr:rowOff>
    </xdr:from>
    <xdr:to>
      <xdr:col>6</xdr:col>
      <xdr:colOff>1072091</xdr:colOff>
      <xdr:row>6</xdr:row>
      <xdr:rowOff>15875</xdr:rowOff>
    </xdr:to>
    <xdr:pic>
      <xdr:nvPicPr>
        <xdr:cNvPr id="3" name="Picture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300883" y="139700"/>
          <a:ext cx="904875" cy="13472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0</xdr:row>
      <xdr:rowOff>76200</xdr:rowOff>
    </xdr:from>
    <xdr:to>
      <xdr:col>7</xdr:col>
      <xdr:colOff>352425</xdr:colOff>
      <xdr:row>4</xdr:row>
      <xdr:rowOff>171450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858000" y="76200"/>
          <a:ext cx="64770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152400</xdr:colOff>
      <xdr:row>26</xdr:row>
      <xdr:rowOff>152400</xdr:rowOff>
    </xdr:to>
    <xdr:pic>
      <xdr:nvPicPr>
        <xdr:cNvPr id="3" name="Imagem 3" descr="http://orse.cehop.se.gov.br/imagens/insumo.gif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7200" y="70104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152400</xdr:colOff>
      <xdr:row>26</xdr:row>
      <xdr:rowOff>152400</xdr:rowOff>
    </xdr:to>
    <xdr:pic>
      <xdr:nvPicPr>
        <xdr:cNvPr id="4" name="Imagem 4" descr="http://orse.cehop.se.gov.br/imagens/insumo.gif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7200" y="70104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161925</xdr:colOff>
      <xdr:row>26</xdr:row>
      <xdr:rowOff>161925</xdr:rowOff>
    </xdr:to>
    <xdr:pic>
      <xdr:nvPicPr>
        <xdr:cNvPr id="5" name="Imagem 5" descr="http://orse.cehop.se.gov.br/imagens/servico.gif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7200" y="701040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152400</xdr:colOff>
      <xdr:row>15</xdr:row>
      <xdr:rowOff>152400</xdr:rowOff>
    </xdr:to>
    <xdr:pic>
      <xdr:nvPicPr>
        <xdr:cNvPr id="6" name="Imagem 3" descr="http://orse.cehop.se.gov.br/imagens/insumo.gif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7200" y="3667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152400</xdr:colOff>
      <xdr:row>15</xdr:row>
      <xdr:rowOff>152400</xdr:rowOff>
    </xdr:to>
    <xdr:pic>
      <xdr:nvPicPr>
        <xdr:cNvPr id="7" name="Imagem 4" descr="http://orse.cehop.se.gov.br/imagens/insumo.gif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7200" y="3667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161925</xdr:colOff>
      <xdr:row>15</xdr:row>
      <xdr:rowOff>161925</xdr:rowOff>
    </xdr:to>
    <xdr:pic>
      <xdr:nvPicPr>
        <xdr:cNvPr id="8" name="Imagem 5" descr="http://orse.cehop.se.gov.br/imagens/servico.gif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7200" y="3667125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152400</xdr:colOff>
      <xdr:row>25</xdr:row>
      <xdr:rowOff>152400</xdr:rowOff>
    </xdr:to>
    <xdr:pic>
      <xdr:nvPicPr>
        <xdr:cNvPr id="12" name="Imagem 3" descr="http://orse.cehop.se.gov.br/imagens/insumo.gif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7200" y="34194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152400</xdr:colOff>
      <xdr:row>25</xdr:row>
      <xdr:rowOff>152400</xdr:rowOff>
    </xdr:to>
    <xdr:pic>
      <xdr:nvPicPr>
        <xdr:cNvPr id="13" name="Imagem 4" descr="http://orse.cehop.se.gov.br/imagens/insumo.gif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7200" y="34194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161925</xdr:colOff>
      <xdr:row>25</xdr:row>
      <xdr:rowOff>161925</xdr:rowOff>
    </xdr:to>
    <xdr:pic>
      <xdr:nvPicPr>
        <xdr:cNvPr id="14" name="Imagem 5" descr="http://orse.cehop.se.gov.br/imagens/servico.gif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7200" y="3419475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38</xdr:row>
      <xdr:rowOff>66676</xdr:rowOff>
    </xdr:from>
    <xdr:to>
      <xdr:col>14</xdr:col>
      <xdr:colOff>0</xdr:colOff>
      <xdr:row>57</xdr:row>
      <xdr:rowOff>142876</xdr:rowOff>
    </xdr:to>
    <xdr:graphicFrame macro="">
      <xdr:nvGraphicFramePr>
        <xdr:cNvPr id="2" name="Chart 7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70</xdr:row>
      <xdr:rowOff>19050</xdr:rowOff>
    </xdr:from>
    <xdr:to>
      <xdr:col>13</xdr:col>
      <xdr:colOff>942975</xdr:colOff>
      <xdr:row>102</xdr:row>
      <xdr:rowOff>85725</xdr:rowOff>
    </xdr:to>
    <xdr:graphicFrame macro="">
      <xdr:nvGraphicFramePr>
        <xdr:cNvPr id="3" name="Gráfic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114</xdr:row>
      <xdr:rowOff>85725</xdr:rowOff>
    </xdr:from>
    <xdr:to>
      <xdr:col>13</xdr:col>
      <xdr:colOff>952500</xdr:colOff>
      <xdr:row>147</xdr:row>
      <xdr:rowOff>161925</xdr:rowOff>
    </xdr:to>
    <xdr:graphicFrame macro="">
      <xdr:nvGraphicFramePr>
        <xdr:cNvPr id="4" name="Gráfico 4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133350</xdr:colOff>
      <xdr:row>0</xdr:row>
      <xdr:rowOff>266700</xdr:rowOff>
    </xdr:from>
    <xdr:to>
      <xdr:col>13</xdr:col>
      <xdr:colOff>1085850</xdr:colOff>
      <xdr:row>5</xdr:row>
      <xdr:rowOff>152400</xdr:rowOff>
    </xdr:to>
    <xdr:pic>
      <xdr:nvPicPr>
        <xdr:cNvPr id="5" name="Picture 1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4744700" y="266700"/>
          <a:ext cx="95250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133350</xdr:colOff>
      <xdr:row>61</xdr:row>
      <xdr:rowOff>257175</xdr:rowOff>
    </xdr:from>
    <xdr:to>
      <xdr:col>13</xdr:col>
      <xdr:colOff>1076325</xdr:colOff>
      <xdr:row>66</xdr:row>
      <xdr:rowOff>190500</xdr:rowOff>
    </xdr:to>
    <xdr:pic>
      <xdr:nvPicPr>
        <xdr:cNvPr id="6" name="Picture 1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4744700" y="12353925"/>
          <a:ext cx="942975" cy="144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171450</xdr:colOff>
      <xdr:row>106</xdr:row>
      <xdr:rowOff>361950</xdr:rowOff>
    </xdr:from>
    <xdr:to>
      <xdr:col>13</xdr:col>
      <xdr:colOff>1047750</xdr:colOff>
      <xdr:row>111</xdr:row>
      <xdr:rowOff>228600</xdr:rowOff>
    </xdr:to>
    <xdr:pic>
      <xdr:nvPicPr>
        <xdr:cNvPr id="7" name="Picture 1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4782800" y="20993100"/>
          <a:ext cx="8763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378885</xdr:colOff>
      <xdr:row>1</xdr:row>
      <xdr:rowOff>63499</xdr:rowOff>
    </xdr:from>
    <xdr:to>
      <xdr:col>7</xdr:col>
      <xdr:colOff>382115</xdr:colOff>
      <xdr:row>5</xdr:row>
      <xdr:rowOff>14816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437968" y="391582"/>
          <a:ext cx="701730" cy="1062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314325</xdr:colOff>
      <xdr:row>1</xdr:row>
      <xdr:rowOff>28575</xdr:rowOff>
    </xdr:from>
    <xdr:to>
      <xdr:col>9</xdr:col>
      <xdr:colOff>349305</xdr:colOff>
      <xdr:row>5</xdr:row>
      <xdr:rowOff>186267</xdr:rowOff>
    </xdr:to>
    <xdr:pic>
      <xdr:nvPicPr>
        <xdr:cNvPr id="4" name="Picture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334500" y="342900"/>
          <a:ext cx="701730" cy="1062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10\Downloads\LABMAQ%2029%2006%202020%20-%20Obs%20Manu%20%20modificado%20para%20PM%2020%2010%202020%20(1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FBA%20-%20Or&#231;amento%202020-07-22/0%20-%20Or&#231;amentos%20Ano%202020/Ano%202020%20-%20Projetos-Obras/2020-03-15-LABMETRO%20-%20Polit&#233;cnica/2020-07-31-Enc%20Paulo-Jo&#227;o/ReformaLepetro_28_07_20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serviço"/>
    </sheetNames>
    <sheetDataSet>
      <sheetData sheetId="0"/>
      <sheetData sheetId="1"/>
      <sheetData sheetId="2"/>
      <sheetData sheetId="3" refreshError="1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ERVIÇOS"/>
      <sheetName val="CRONOGRAMA"/>
      <sheetName val="COMPOSIÇÕES "/>
      <sheetName val="ENCARGOS SOCIAIS"/>
      <sheetName val="BDI OBRAS"/>
      <sheetName val="BDI EQUIPAMENTOS"/>
      <sheetName val="QUANT. LABMAQ"/>
      <sheetName val="RESUMO"/>
    </sheetNames>
    <sheetDataSet>
      <sheetData sheetId="0">
        <row r="7">
          <cell r="A7" t="str">
            <v>Campus Universitário da Federção - Ssa - Ba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ERVIÇOS"/>
      <sheetName val="CRONOGRAMA"/>
      <sheetName val="COMPOSIÇÕES"/>
      <sheetName val="BDI OBRAS"/>
      <sheetName val="BDI EQUIPAMENTOS"/>
      <sheetName val="ENCARGOS SOCIAIS"/>
      <sheetName val="Área de Pintura"/>
      <sheetName val="ELÉTRICA"/>
    </sheetNames>
    <sheetDataSet>
      <sheetData sheetId="0">
        <row r="1">
          <cell r="A1" t="str">
            <v>UNIVERSIDADE FEDERAL DA BAHIA</v>
          </cell>
        </row>
        <row r="2">
          <cell r="A2" t="str">
            <v xml:space="preserve">SUPERINTENDÊNCIA DE MEIO AMBIENTE E INFRAESTRUTURA   </v>
          </cell>
        </row>
        <row r="3">
          <cell r="A3" t="str">
            <v>COORDENAÇÃO DE ORÇAMENTO E PLANEJAMENTO</v>
          </cell>
        </row>
        <row r="7">
          <cell r="A7" t="str">
            <v>Campus Universitário da Federação, Salvador, Bahia</v>
          </cell>
        </row>
        <row r="18">
          <cell r="C18" t="str">
            <v xml:space="preserve">ADMINISTRAÇÃO LOCAL </v>
          </cell>
        </row>
        <row r="209">
          <cell r="F209">
            <v>0.25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magalu.com.br/" TargetMode="External"/><Relationship Id="rId1" Type="http://schemas.openxmlformats.org/officeDocument/2006/relationships/hyperlink" Target="http://www.lojaeletrica.com.br/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89"/>
  <sheetViews>
    <sheetView tabSelected="1" zoomScale="80" zoomScaleNormal="80" workbookViewId="0">
      <selection activeCell="J276" sqref="J276"/>
    </sheetView>
  </sheetViews>
  <sheetFormatPr defaultRowHeight="15"/>
  <cols>
    <col min="1" max="1" width="11.85546875" bestFit="1" customWidth="1"/>
    <col min="2" max="2" width="19.85546875" customWidth="1"/>
    <col min="3" max="3" width="95.28515625" customWidth="1"/>
    <col min="4" max="5" width="13.5703125" customWidth="1"/>
    <col min="6" max="6" width="14.85546875" customWidth="1"/>
    <col min="7" max="7" width="23.140625" customWidth="1"/>
    <col min="9" max="9" width="11.85546875" customWidth="1"/>
    <col min="10" max="10" width="15.140625" customWidth="1"/>
    <col min="11" max="11" width="14" customWidth="1"/>
    <col min="12" max="12" width="16" customWidth="1"/>
    <col min="15" max="15" width="11.42578125" customWidth="1"/>
  </cols>
  <sheetData>
    <row r="1" spans="1:15" ht="30" customHeight="1">
      <c r="A1" s="612" t="s">
        <v>13</v>
      </c>
      <c r="B1" s="613"/>
      <c r="C1" s="613"/>
      <c r="D1" s="613"/>
      <c r="E1" s="613"/>
      <c r="F1" s="9"/>
      <c r="G1" s="10"/>
    </row>
    <row r="2" spans="1:15" ht="20.25" customHeight="1">
      <c r="A2" s="614" t="s">
        <v>14</v>
      </c>
      <c r="B2" s="615"/>
      <c r="C2" s="615"/>
      <c r="D2" s="615"/>
      <c r="E2" s="615"/>
      <c r="F2" s="11"/>
      <c r="G2" s="12"/>
    </row>
    <row r="3" spans="1:15" ht="15.75" customHeight="1">
      <c r="A3" s="624" t="s">
        <v>15</v>
      </c>
      <c r="B3" s="625"/>
      <c r="C3" s="625"/>
      <c r="D3" s="625"/>
      <c r="E3" s="625"/>
      <c r="F3" s="13"/>
      <c r="G3" s="12"/>
    </row>
    <row r="4" spans="1:15" ht="15.75">
      <c r="A4" s="46" t="s">
        <v>16</v>
      </c>
      <c r="B4" s="47"/>
      <c r="C4" s="14"/>
      <c r="D4" s="626" t="s">
        <v>17</v>
      </c>
      <c r="E4" s="626"/>
      <c r="F4" s="15"/>
      <c r="G4" s="12"/>
    </row>
    <row r="5" spans="1:15" ht="18">
      <c r="A5" s="616" t="s">
        <v>403</v>
      </c>
      <c r="B5" s="617"/>
      <c r="C5" s="617"/>
      <c r="D5" s="627" t="s">
        <v>516</v>
      </c>
      <c r="E5" s="627"/>
      <c r="F5" s="16"/>
      <c r="G5" s="12"/>
    </row>
    <row r="6" spans="1:15" ht="15.75" customHeight="1">
      <c r="A6" s="621" t="s">
        <v>18</v>
      </c>
      <c r="B6" s="622"/>
      <c r="C6" s="622"/>
      <c r="D6" s="623" t="s">
        <v>123</v>
      </c>
      <c r="E6" s="623"/>
      <c r="F6" s="410" t="s">
        <v>283</v>
      </c>
      <c r="G6" s="12"/>
    </row>
    <row r="7" spans="1:15" ht="18.75" thickBot="1">
      <c r="A7" s="616" t="s">
        <v>29</v>
      </c>
      <c r="B7" s="617"/>
      <c r="C7" s="617"/>
      <c r="D7" s="25">
        <f>188.87+210.65</f>
        <v>399.52</v>
      </c>
      <c r="E7" s="25"/>
      <c r="F7" s="411">
        <f>G269/D7</f>
        <v>302.67930892070484</v>
      </c>
      <c r="G7" s="17"/>
    </row>
    <row r="8" spans="1:15" ht="18">
      <c r="A8" s="618" t="s">
        <v>19</v>
      </c>
      <c r="B8" s="619"/>
      <c r="C8" s="619"/>
      <c r="D8" s="619"/>
      <c r="E8" s="619"/>
      <c r="F8" s="619"/>
      <c r="G8" s="620"/>
    </row>
    <row r="9" spans="1:15" ht="32.25" thickBot="1">
      <c r="A9" s="18" t="s">
        <v>20</v>
      </c>
      <c r="B9" s="19" t="s">
        <v>21</v>
      </c>
      <c r="C9" s="20" t="s">
        <v>22</v>
      </c>
      <c r="D9" s="21" t="s">
        <v>9</v>
      </c>
      <c r="E9" s="22" t="s">
        <v>23</v>
      </c>
      <c r="F9" s="21" t="s">
        <v>24</v>
      </c>
      <c r="G9" s="23" t="s">
        <v>25</v>
      </c>
    </row>
    <row r="10" spans="1:15" ht="18.75" thickBot="1">
      <c r="A10" s="422">
        <v>1</v>
      </c>
      <c r="B10" s="423"/>
      <c r="C10" s="424" t="s">
        <v>26</v>
      </c>
      <c r="D10" s="425"/>
      <c r="E10" s="426"/>
      <c r="F10" s="425"/>
      <c r="G10" s="427">
        <f>SUM(G11:G13)</f>
        <v>27456.180000000004</v>
      </c>
      <c r="H10" s="408">
        <f t="shared" ref="H10:H73" si="0">G10/$G$269</f>
        <v>0.22704861374916468</v>
      </c>
      <c r="I10" s="69"/>
      <c r="J10" s="69"/>
      <c r="K10" s="69"/>
      <c r="L10" s="69"/>
      <c r="M10" s="69"/>
      <c r="N10" s="69"/>
      <c r="O10" s="69"/>
    </row>
    <row r="11" spans="1:15" s="50" customFormat="1" ht="36">
      <c r="A11" s="1" t="s">
        <v>27</v>
      </c>
      <c r="B11" s="526">
        <v>93565</v>
      </c>
      <c r="C11" s="527" t="s">
        <v>242</v>
      </c>
      <c r="D11" s="526" t="s">
        <v>28</v>
      </c>
      <c r="E11" s="528">
        <v>2</v>
      </c>
      <c r="F11" s="563">
        <f>16415.08/2</f>
        <v>8207.5400000000009</v>
      </c>
      <c r="G11" s="529">
        <f>ROUND(E11*F11,2)</f>
        <v>16415.080000000002</v>
      </c>
      <c r="H11" s="408">
        <f t="shared" si="0"/>
        <v>0.13574434457312118</v>
      </c>
      <c r="I11" s="70"/>
      <c r="J11" s="70"/>
      <c r="K11" s="70"/>
      <c r="L11" s="70"/>
      <c r="M11" s="70"/>
      <c r="N11" s="70"/>
      <c r="O11" s="70"/>
    </row>
    <row r="12" spans="1:15" s="50" customFormat="1" ht="18">
      <c r="A12" s="24" t="s">
        <v>87</v>
      </c>
      <c r="B12" s="521">
        <v>93572</v>
      </c>
      <c r="C12" s="522" t="s">
        <v>88</v>
      </c>
      <c r="D12" s="521" t="s">
        <v>28</v>
      </c>
      <c r="E12" s="517">
        <v>2</v>
      </c>
      <c r="F12" s="564">
        <v>5474.85</v>
      </c>
      <c r="G12" s="530">
        <f>ROUND(E12*F12,2)</f>
        <v>10949.7</v>
      </c>
      <c r="H12" s="408">
        <f t="shared" si="0"/>
        <v>9.0548437764074549E-2</v>
      </c>
      <c r="I12" s="70"/>
      <c r="J12" s="70"/>
      <c r="K12" s="70"/>
      <c r="L12" s="70"/>
      <c r="M12" s="70"/>
      <c r="N12" s="70"/>
      <c r="O12" s="70"/>
    </row>
    <row r="13" spans="1:15" s="50" customFormat="1" ht="36">
      <c r="A13" s="64" t="s">
        <v>89</v>
      </c>
      <c r="B13" s="521" t="s">
        <v>90</v>
      </c>
      <c r="C13" s="522" t="s">
        <v>91</v>
      </c>
      <c r="D13" s="521" t="s">
        <v>92</v>
      </c>
      <c r="E13" s="517">
        <f>10*1</f>
        <v>10</v>
      </c>
      <c r="F13" s="564">
        <v>9.14</v>
      </c>
      <c r="G13" s="530">
        <f>ROUND(E13*F13,2)</f>
        <v>91.4</v>
      </c>
      <c r="H13" s="408">
        <f t="shared" si="0"/>
        <v>7.5583141196895016E-4</v>
      </c>
      <c r="I13" s="70"/>
      <c r="J13" s="70"/>
      <c r="K13" s="70"/>
      <c r="L13" s="70"/>
      <c r="M13" s="70"/>
      <c r="N13" s="70"/>
      <c r="O13" s="70"/>
    </row>
    <row r="14" spans="1:15" s="50" customFormat="1" ht="21.75" customHeight="1" thickBot="1">
      <c r="A14" s="449"/>
      <c r="B14" s="449"/>
      <c r="C14" s="450"/>
      <c r="D14" s="449"/>
      <c r="E14" s="446"/>
      <c r="F14" s="451"/>
      <c r="G14" s="452"/>
      <c r="H14" s="408">
        <f t="shared" si="0"/>
        <v>0</v>
      </c>
      <c r="I14" s="70"/>
      <c r="J14" s="70"/>
      <c r="K14" s="70"/>
      <c r="L14" s="70"/>
      <c r="M14" s="70"/>
      <c r="N14" s="70"/>
      <c r="O14" s="70"/>
    </row>
    <row r="15" spans="1:15" s="50" customFormat="1" ht="22.5" customHeight="1" thickBot="1">
      <c r="A15" s="589" t="s">
        <v>284</v>
      </c>
      <c r="B15" s="590"/>
      <c r="C15" s="417"/>
      <c r="D15" s="418"/>
      <c r="E15" s="419"/>
      <c r="F15" s="420"/>
      <c r="G15" s="421">
        <f>SUM(G16,G35,G46,G86,G117,G130,G141,G154)</f>
        <v>42287.450000000004</v>
      </c>
      <c r="H15" s="408">
        <f t="shared" si="0"/>
        <v>0.34969565691538712</v>
      </c>
      <c r="I15" s="70"/>
      <c r="J15" s="70"/>
      <c r="K15" s="70"/>
      <c r="L15" s="70"/>
      <c r="M15" s="70"/>
      <c r="N15" s="70"/>
      <c r="O15" s="70"/>
    </row>
    <row r="16" spans="1:15" s="50" customFormat="1" ht="23.25" customHeight="1">
      <c r="A16" s="413"/>
      <c r="B16" s="414"/>
      <c r="C16" s="415" t="s">
        <v>268</v>
      </c>
      <c r="D16" s="414"/>
      <c r="E16" s="414"/>
      <c r="F16" s="414"/>
      <c r="G16" s="416">
        <f>SUM(G17,G20,G22,G24,G27,G29,G33)</f>
        <v>2097.52</v>
      </c>
      <c r="H16" s="408">
        <f t="shared" si="0"/>
        <v>1.7345421260756153E-2</v>
      </c>
      <c r="I16" s="70"/>
      <c r="J16" s="70"/>
      <c r="K16" s="70"/>
      <c r="L16" s="70"/>
      <c r="M16" s="70"/>
      <c r="N16" s="70"/>
      <c r="O16" s="70"/>
    </row>
    <row r="17" spans="1:15" s="50" customFormat="1" ht="18">
      <c r="A17" s="55">
        <v>2</v>
      </c>
      <c r="B17" s="56"/>
      <c r="C17" s="57" t="s">
        <v>3</v>
      </c>
      <c r="D17" s="58"/>
      <c r="E17" s="59"/>
      <c r="F17" s="60"/>
      <c r="G17" s="61">
        <f>SUM(G18:G19)</f>
        <v>104.97</v>
      </c>
      <c r="H17" s="408">
        <f t="shared" si="0"/>
        <v>8.6804839512451531E-4</v>
      </c>
      <c r="I17" s="70"/>
      <c r="J17" s="70"/>
      <c r="K17" s="70"/>
      <c r="L17" s="70"/>
      <c r="M17" s="70"/>
      <c r="N17" s="70"/>
      <c r="O17" s="70"/>
    </row>
    <row r="18" spans="1:15" s="50" customFormat="1" ht="38.25" customHeight="1">
      <c r="A18" s="1" t="s">
        <v>41</v>
      </c>
      <c r="B18" s="521">
        <v>97641</v>
      </c>
      <c r="C18" s="522" t="s">
        <v>253</v>
      </c>
      <c r="D18" s="517" t="s">
        <v>0</v>
      </c>
      <c r="E18" s="518">
        <f>11.27+6.67</f>
        <v>17.939999999999998</v>
      </c>
      <c r="F18" s="5">
        <v>4.5199999999999996</v>
      </c>
      <c r="G18" s="6">
        <f>ROUND(E18*F18,2)</f>
        <v>81.09</v>
      </c>
      <c r="H18" s="408">
        <f t="shared" si="0"/>
        <v>6.705729671396298E-4</v>
      </c>
      <c r="I18" s="70"/>
      <c r="J18" s="70"/>
      <c r="K18" s="70"/>
      <c r="L18" s="70"/>
      <c r="M18" s="70"/>
      <c r="N18" s="70"/>
      <c r="O18" s="70"/>
    </row>
    <row r="19" spans="1:15" s="50" customFormat="1" ht="18">
      <c r="A19" s="1"/>
      <c r="B19" s="2" t="s">
        <v>473</v>
      </c>
      <c r="C19" s="3" t="s">
        <v>472</v>
      </c>
      <c r="D19" s="4" t="s">
        <v>0</v>
      </c>
      <c r="E19" s="5">
        <v>1.5</v>
      </c>
      <c r="F19" s="5">
        <v>15.92</v>
      </c>
      <c r="G19" s="6">
        <f>ROUND(E19*F19,2)</f>
        <v>23.88</v>
      </c>
      <c r="H19" s="573">
        <f t="shared" si="0"/>
        <v>1.9747542798488542E-4</v>
      </c>
      <c r="I19" s="70"/>
      <c r="J19" s="70"/>
      <c r="K19" s="70"/>
      <c r="L19" s="70"/>
      <c r="M19" s="70"/>
      <c r="N19" s="70"/>
      <c r="O19" s="70"/>
    </row>
    <row r="20" spans="1:15" s="50" customFormat="1" ht="18">
      <c r="A20" s="55">
        <v>3</v>
      </c>
      <c r="B20" s="56"/>
      <c r="C20" s="57" t="s">
        <v>12</v>
      </c>
      <c r="D20" s="58"/>
      <c r="E20" s="59"/>
      <c r="F20" s="60"/>
      <c r="G20" s="61">
        <f>SUM(G21:G21)</f>
        <v>70.28</v>
      </c>
      <c r="H20" s="408">
        <f t="shared" si="0"/>
        <v>5.8117977716824743E-4</v>
      </c>
      <c r="I20" s="70"/>
      <c r="J20" s="70"/>
      <c r="K20" s="70"/>
      <c r="L20" s="70"/>
      <c r="M20" s="70"/>
      <c r="N20" s="70"/>
      <c r="O20" s="70"/>
    </row>
    <row r="21" spans="1:15" s="50" customFormat="1" ht="54">
      <c r="A21" s="1" t="s">
        <v>42</v>
      </c>
      <c r="B21" s="2" t="s">
        <v>82</v>
      </c>
      <c r="C21" s="3" t="s">
        <v>246</v>
      </c>
      <c r="D21" s="4" t="s">
        <v>0</v>
      </c>
      <c r="E21" s="5">
        <f>2.94*0.9</f>
        <v>2.6459999999999999</v>
      </c>
      <c r="F21" s="5">
        <v>26.56</v>
      </c>
      <c r="G21" s="6">
        <f t="shared" ref="G21" si="1">ROUND(E21*F21,2)</f>
        <v>70.28</v>
      </c>
      <c r="H21" s="573">
        <f t="shared" si="0"/>
        <v>5.8117977716824743E-4</v>
      </c>
      <c r="I21" s="70"/>
      <c r="J21" s="70"/>
      <c r="K21" s="70"/>
      <c r="L21" s="70"/>
      <c r="M21" s="70"/>
      <c r="N21" s="70"/>
      <c r="O21" s="70"/>
    </row>
    <row r="22" spans="1:15" s="50" customFormat="1" ht="18">
      <c r="A22" s="55">
        <v>4</v>
      </c>
      <c r="B22" s="56"/>
      <c r="C22" s="57" t="s">
        <v>2</v>
      </c>
      <c r="D22" s="58"/>
      <c r="E22" s="59"/>
      <c r="F22" s="60"/>
      <c r="G22" s="61">
        <f>SUM(G23)</f>
        <v>664.14</v>
      </c>
      <c r="H22" s="408">
        <f t="shared" si="0"/>
        <v>5.4920992772982333E-3</v>
      </c>
      <c r="I22" s="70"/>
      <c r="J22" s="70"/>
      <c r="K22" s="70"/>
      <c r="L22" s="70"/>
      <c r="M22" s="70"/>
      <c r="N22" s="70"/>
      <c r="O22" s="70"/>
    </row>
    <row r="23" spans="1:15" s="50" customFormat="1" ht="18">
      <c r="A23" s="1" t="s">
        <v>43</v>
      </c>
      <c r="B23" s="2">
        <v>96113</v>
      </c>
      <c r="C23" s="3" t="s">
        <v>68</v>
      </c>
      <c r="D23" s="4" t="s">
        <v>0</v>
      </c>
      <c r="E23" s="5">
        <f>E18</f>
        <v>17.939999999999998</v>
      </c>
      <c r="F23" s="5">
        <v>37.020000000000003</v>
      </c>
      <c r="G23" s="6">
        <f>ROUND(E23*F23,2)</f>
        <v>664.14</v>
      </c>
      <c r="H23" s="573">
        <f t="shared" si="0"/>
        <v>5.4920992772982333E-3</v>
      </c>
      <c r="I23" s="70"/>
      <c r="J23" s="70"/>
      <c r="K23" s="70"/>
      <c r="L23" s="70"/>
      <c r="M23" s="70"/>
      <c r="N23" s="70"/>
      <c r="O23" s="70"/>
    </row>
    <row r="24" spans="1:15" s="50" customFormat="1" ht="18">
      <c r="A24" s="55">
        <v>5</v>
      </c>
      <c r="B24" s="56"/>
      <c r="C24" s="57" t="s">
        <v>8</v>
      </c>
      <c r="D24" s="58"/>
      <c r="E24" s="59"/>
      <c r="F24" s="60"/>
      <c r="G24" s="61">
        <f>SUM(G25:G26)</f>
        <v>142.67000000000002</v>
      </c>
      <c r="H24" s="408">
        <f t="shared" si="0"/>
        <v>1.1798081788359971E-3</v>
      </c>
      <c r="I24" s="70"/>
      <c r="J24" s="70"/>
      <c r="K24" s="70"/>
      <c r="L24" s="70"/>
      <c r="M24" s="70"/>
      <c r="N24" s="70"/>
      <c r="O24" s="70"/>
    </row>
    <row r="25" spans="1:15" s="50" customFormat="1" ht="18">
      <c r="A25" s="7" t="s">
        <v>44</v>
      </c>
      <c r="B25" s="515" t="s">
        <v>255</v>
      </c>
      <c r="C25" s="516" t="s">
        <v>254</v>
      </c>
      <c r="D25" s="517" t="s">
        <v>9</v>
      </c>
      <c r="E25" s="518">
        <v>3</v>
      </c>
      <c r="F25" s="5">
        <v>24.29</v>
      </c>
      <c r="G25" s="6">
        <f>ROUND(E25*F25,2)</f>
        <v>72.87</v>
      </c>
      <c r="H25" s="408">
        <f t="shared" si="0"/>
        <v>6.0259775700412905E-4</v>
      </c>
      <c r="I25" s="70"/>
      <c r="J25" s="70"/>
      <c r="K25" s="70"/>
      <c r="L25" s="70"/>
      <c r="M25" s="70"/>
      <c r="N25" s="70"/>
      <c r="O25" s="70"/>
    </row>
    <row r="26" spans="1:15" s="50" customFormat="1" ht="18">
      <c r="A26" s="7" t="s">
        <v>45</v>
      </c>
      <c r="B26" s="515" t="s">
        <v>257</v>
      </c>
      <c r="C26" s="516" t="s">
        <v>256</v>
      </c>
      <c r="D26" s="517" t="s">
        <v>9</v>
      </c>
      <c r="E26" s="518">
        <v>2</v>
      </c>
      <c r="F26" s="5">
        <v>34.9</v>
      </c>
      <c r="G26" s="6">
        <f>ROUND(E26*F26,2)</f>
        <v>69.8</v>
      </c>
      <c r="H26" s="408">
        <f t="shared" si="0"/>
        <v>5.7721042183186781E-4</v>
      </c>
      <c r="I26" s="70"/>
      <c r="J26" s="70"/>
      <c r="K26" s="70"/>
      <c r="L26" s="70"/>
      <c r="M26" s="70"/>
      <c r="N26" s="70"/>
      <c r="O26" s="70"/>
    </row>
    <row r="27" spans="1:15" s="50" customFormat="1" ht="18">
      <c r="A27" s="55">
        <v>6</v>
      </c>
      <c r="B27" s="56"/>
      <c r="C27" s="57" t="s">
        <v>4</v>
      </c>
      <c r="D27" s="58"/>
      <c r="E27" s="59"/>
      <c r="F27" s="60"/>
      <c r="G27" s="61">
        <f>SUM(G28:G28)</f>
        <v>516.89</v>
      </c>
      <c r="H27" s="408">
        <f t="shared" si="0"/>
        <v>4.2744168329609481E-3</v>
      </c>
      <c r="I27" s="70"/>
      <c r="J27" s="70"/>
      <c r="K27" s="70"/>
      <c r="L27" s="70"/>
      <c r="M27" s="70"/>
      <c r="N27" s="70"/>
      <c r="O27" s="70"/>
    </row>
    <row r="28" spans="1:15" s="50" customFormat="1" ht="36">
      <c r="A28" s="7" t="s">
        <v>46</v>
      </c>
      <c r="B28" s="570" t="str">
        <f>COMPOSIÇÕES!D17</f>
        <v>COMPOSIÇÃO 01</v>
      </c>
      <c r="C28" s="8" t="str">
        <f>COMPOSIÇÕES!D18</f>
        <v>FORNECIMENTO E INSTALAÇÃO DE PORTA COMPLETA E CORTE PARA ADAPTAÇÃO DE LARGURA PORTA DE 0,80 PARA 0,74 M. CONFORME PROJETO DE REFORMA.</v>
      </c>
      <c r="D28" s="4" t="s">
        <v>9</v>
      </c>
      <c r="E28" s="5">
        <v>1</v>
      </c>
      <c r="F28" s="5">
        <f>COMPOSIÇÕES!H24</f>
        <v>516.89</v>
      </c>
      <c r="G28" s="6">
        <f t="shared" ref="G28" si="2">ROUND(E28*F28,2)</f>
        <v>516.89</v>
      </c>
      <c r="H28" s="573">
        <f t="shared" si="0"/>
        <v>4.2744168329609481E-3</v>
      </c>
      <c r="I28" s="70"/>
      <c r="J28" s="70"/>
      <c r="K28" s="70"/>
      <c r="L28" s="70"/>
      <c r="M28" s="70"/>
      <c r="N28" s="70"/>
      <c r="O28" s="70"/>
    </row>
    <row r="29" spans="1:15" s="50" customFormat="1" ht="18">
      <c r="A29" s="55">
        <v>7</v>
      </c>
      <c r="B29" s="56"/>
      <c r="C29" s="57" t="s">
        <v>1</v>
      </c>
      <c r="D29" s="58"/>
      <c r="E29" s="59"/>
      <c r="F29" s="60"/>
      <c r="G29" s="61">
        <f>SUM(G30:G32)</f>
        <v>487.04999999999995</v>
      </c>
      <c r="H29" s="408">
        <f t="shared" si="0"/>
        <v>4.0276552428826816E-3</v>
      </c>
      <c r="I29" s="70"/>
      <c r="J29" s="70"/>
      <c r="K29" s="70"/>
      <c r="L29" s="70"/>
      <c r="M29" s="70"/>
      <c r="N29" s="70"/>
      <c r="O29" s="70"/>
    </row>
    <row r="30" spans="1:15" s="50" customFormat="1" ht="36">
      <c r="A30" s="7" t="s">
        <v>47</v>
      </c>
      <c r="B30" s="515">
        <v>88497</v>
      </c>
      <c r="C30" s="516" t="s">
        <v>77</v>
      </c>
      <c r="D30" s="517" t="s">
        <v>0</v>
      </c>
      <c r="E30" s="518">
        <v>12.04</v>
      </c>
      <c r="F30" s="5">
        <v>14.18</v>
      </c>
      <c r="G30" s="6">
        <f>ROUND(E30*F30,2)</f>
        <v>170.73</v>
      </c>
      <c r="H30" s="408">
        <f t="shared" si="0"/>
        <v>1.4118500762085213E-3</v>
      </c>
      <c r="I30" s="70"/>
      <c r="J30" s="70"/>
      <c r="K30" s="70"/>
      <c r="L30" s="70"/>
      <c r="M30" s="70"/>
      <c r="N30" s="70"/>
      <c r="O30" s="70"/>
    </row>
    <row r="31" spans="1:15" s="50" customFormat="1" ht="36">
      <c r="A31" s="7" t="s">
        <v>48</v>
      </c>
      <c r="B31" s="515">
        <v>88489</v>
      </c>
      <c r="C31" s="516" t="s">
        <v>6</v>
      </c>
      <c r="D31" s="517" t="s">
        <v>0</v>
      </c>
      <c r="E31" s="518">
        <f>E30</f>
        <v>12.04</v>
      </c>
      <c r="F31" s="5">
        <v>12.67</v>
      </c>
      <c r="G31" s="6">
        <f>ROUND(E31*F31,2)</f>
        <v>152.55000000000001</v>
      </c>
      <c r="H31" s="408">
        <f t="shared" si="0"/>
        <v>1.261510742843144E-3</v>
      </c>
      <c r="I31" s="70"/>
      <c r="J31" s="70"/>
      <c r="K31" s="70"/>
      <c r="L31" s="70"/>
      <c r="M31" s="70"/>
      <c r="N31" s="70"/>
      <c r="O31" s="70"/>
    </row>
    <row r="32" spans="1:15" s="50" customFormat="1" ht="36">
      <c r="A32" s="7" t="s">
        <v>49</v>
      </c>
      <c r="B32" s="570">
        <v>102218</v>
      </c>
      <c r="C32" s="8" t="s">
        <v>269</v>
      </c>
      <c r="D32" s="4" t="s">
        <v>0</v>
      </c>
      <c r="E32" s="5">
        <f>(0.6*2.1*4)+(0.7*2.1*2)+(0.74*2.1*2)</f>
        <v>11.088000000000001</v>
      </c>
      <c r="F32" s="5">
        <v>14.77</v>
      </c>
      <c r="G32" s="6">
        <f>ROUND(E32*F32,2)</f>
        <v>163.77000000000001</v>
      </c>
      <c r="H32" s="573">
        <f t="shared" si="0"/>
        <v>1.3542944238310172E-3</v>
      </c>
      <c r="I32" s="70"/>
      <c r="J32" s="70"/>
      <c r="K32" s="70"/>
      <c r="L32" s="70"/>
      <c r="M32" s="70"/>
      <c r="N32" s="70"/>
      <c r="O32" s="70"/>
    </row>
    <row r="33" spans="1:15" s="50" customFormat="1" ht="18" customHeight="1">
      <c r="A33" s="55">
        <v>8</v>
      </c>
      <c r="B33" s="56"/>
      <c r="C33" s="57" t="s">
        <v>259</v>
      </c>
      <c r="D33" s="58"/>
      <c r="E33" s="59"/>
      <c r="F33" s="60"/>
      <c r="G33" s="61">
        <f>SUM(G34)</f>
        <v>111.52</v>
      </c>
      <c r="H33" s="408">
        <f t="shared" si="0"/>
        <v>9.2221355648552863E-4</v>
      </c>
      <c r="I33" s="70"/>
      <c r="J33" s="70"/>
      <c r="K33" s="70"/>
      <c r="L33" s="70"/>
      <c r="M33" s="70"/>
      <c r="N33" s="70"/>
      <c r="O33" s="70"/>
    </row>
    <row r="34" spans="1:15" s="50" customFormat="1" ht="18">
      <c r="A34" s="24" t="s">
        <v>50</v>
      </c>
      <c r="B34" s="2" t="s">
        <v>422</v>
      </c>
      <c r="C34" s="3" t="s">
        <v>421</v>
      </c>
      <c r="D34" s="4" t="s">
        <v>9</v>
      </c>
      <c r="E34" s="566">
        <v>2</v>
      </c>
      <c r="F34" s="566">
        <v>55.76</v>
      </c>
      <c r="G34" s="6">
        <f>ROUND(E34*F34,2)</f>
        <v>111.52</v>
      </c>
      <c r="H34" s="573">
        <f t="shared" si="0"/>
        <v>9.2221355648552863E-4</v>
      </c>
      <c r="I34" s="70"/>
      <c r="J34" s="70"/>
      <c r="K34" s="70"/>
      <c r="L34" s="70"/>
      <c r="M34" s="70"/>
      <c r="N34" s="70"/>
      <c r="O34" s="70"/>
    </row>
    <row r="35" spans="1:15" s="50" customFormat="1" ht="18">
      <c r="A35" s="413"/>
      <c r="B35" s="414"/>
      <c r="C35" s="415" t="s">
        <v>86</v>
      </c>
      <c r="D35" s="414"/>
      <c r="E35" s="414"/>
      <c r="F35" s="414"/>
      <c r="G35" s="416">
        <f>SUM(G36,G38,G40,G42,G44)</f>
        <v>578.56999999999994</v>
      </c>
      <c r="H35" s="408">
        <f t="shared" si="0"/>
        <v>4.7844789936857266E-3</v>
      </c>
      <c r="I35" s="70"/>
      <c r="J35" s="70"/>
      <c r="K35" s="70"/>
      <c r="L35" s="70"/>
      <c r="M35" s="70"/>
      <c r="N35" s="70"/>
      <c r="O35" s="70"/>
    </row>
    <row r="36" spans="1:15" s="50" customFormat="1" ht="18">
      <c r="A36" s="55">
        <v>9</v>
      </c>
      <c r="B36" s="56"/>
      <c r="C36" s="57" t="s">
        <v>3</v>
      </c>
      <c r="D36" s="58"/>
      <c r="E36" s="59"/>
      <c r="F36" s="60"/>
      <c r="G36" s="61">
        <f>SUM(G37)</f>
        <v>14.78</v>
      </c>
      <c r="H36" s="408">
        <f t="shared" si="0"/>
        <v>1.2222306639935539E-4</v>
      </c>
      <c r="I36" s="70"/>
      <c r="J36" s="70"/>
      <c r="K36" s="70"/>
      <c r="L36" s="70"/>
      <c r="M36" s="70"/>
      <c r="N36" s="70"/>
      <c r="O36" s="70"/>
    </row>
    <row r="37" spans="1:15" s="50" customFormat="1" ht="36">
      <c r="A37" s="409" t="s">
        <v>51</v>
      </c>
      <c r="B37" s="565">
        <v>97640</v>
      </c>
      <c r="C37" s="575" t="s">
        <v>69</v>
      </c>
      <c r="D37" s="576" t="s">
        <v>0</v>
      </c>
      <c r="E37" s="576">
        <v>7.99</v>
      </c>
      <c r="F37" s="576">
        <v>1.85</v>
      </c>
      <c r="G37" s="577">
        <f>ROUND(E37*F37,2)</f>
        <v>14.78</v>
      </c>
      <c r="H37" s="573">
        <f t="shared" si="0"/>
        <v>1.2222306639935539E-4</v>
      </c>
      <c r="I37" s="70"/>
      <c r="J37" s="70"/>
      <c r="K37" s="70"/>
      <c r="L37" s="70"/>
      <c r="M37" s="70"/>
      <c r="N37" s="70"/>
      <c r="O37" s="70"/>
    </row>
    <row r="38" spans="1:15" s="50" customFormat="1" ht="18">
      <c r="A38" s="55">
        <v>10</v>
      </c>
      <c r="B38" s="56"/>
      <c r="C38" s="57" t="s">
        <v>2</v>
      </c>
      <c r="D38" s="58"/>
      <c r="E38" s="59"/>
      <c r="F38" s="60"/>
      <c r="G38" s="61">
        <f>SUM(G39)</f>
        <v>295.79000000000002</v>
      </c>
      <c r="H38" s="408">
        <f t="shared" si="0"/>
        <v>2.4460325311410915E-3</v>
      </c>
      <c r="I38" s="70"/>
      <c r="J38" s="70"/>
      <c r="K38" s="70"/>
      <c r="L38" s="70"/>
      <c r="M38" s="70"/>
      <c r="N38" s="70"/>
      <c r="O38" s="70"/>
    </row>
    <row r="39" spans="1:15" s="50" customFormat="1" ht="18">
      <c r="A39" s="1" t="s">
        <v>52</v>
      </c>
      <c r="B39" s="2">
        <v>96113</v>
      </c>
      <c r="C39" s="3" t="s">
        <v>68</v>
      </c>
      <c r="D39" s="4" t="s">
        <v>0</v>
      </c>
      <c r="E39" s="5">
        <v>7.99</v>
      </c>
      <c r="F39" s="5">
        <v>37.020000000000003</v>
      </c>
      <c r="G39" s="6">
        <f>ROUND(E39*F39,2)</f>
        <v>295.79000000000002</v>
      </c>
      <c r="H39" s="573">
        <f t="shared" si="0"/>
        <v>2.4460325311410915E-3</v>
      </c>
      <c r="I39" s="70"/>
      <c r="J39" s="70"/>
      <c r="K39" s="70"/>
      <c r="L39" s="70"/>
      <c r="M39" s="70"/>
      <c r="N39" s="70"/>
      <c r="O39" s="70"/>
    </row>
    <row r="40" spans="1:15" s="50" customFormat="1" ht="38.25" customHeight="1">
      <c r="A40" s="55">
        <v>11</v>
      </c>
      <c r="B40" s="56"/>
      <c r="C40" s="57" t="s">
        <v>261</v>
      </c>
      <c r="D40" s="58"/>
      <c r="E40" s="59"/>
      <c r="F40" s="60"/>
      <c r="G40" s="61">
        <f>SUM(G41)</f>
        <v>72.72</v>
      </c>
      <c r="H40" s="408">
        <f t="shared" si="0"/>
        <v>6.0135733346151042E-4</v>
      </c>
      <c r="I40" s="70"/>
      <c r="J40" s="70"/>
      <c r="K40" s="70"/>
      <c r="L40" s="70"/>
      <c r="M40" s="70"/>
      <c r="N40" s="70"/>
      <c r="O40" s="70"/>
    </row>
    <row r="41" spans="1:15" s="50" customFormat="1" ht="18">
      <c r="A41" s="409" t="s">
        <v>53</v>
      </c>
      <c r="B41" s="524" t="s">
        <v>263</v>
      </c>
      <c r="C41" s="525" t="s">
        <v>262</v>
      </c>
      <c r="D41" s="524" t="s">
        <v>0</v>
      </c>
      <c r="E41" s="524">
        <v>0.5</v>
      </c>
      <c r="F41" s="565">
        <v>145.43</v>
      </c>
      <c r="G41" s="63">
        <f>ROUND(E41*F41,2)</f>
        <v>72.72</v>
      </c>
      <c r="H41" s="408">
        <f t="shared" si="0"/>
        <v>6.0135733346151042E-4</v>
      </c>
      <c r="I41" s="70"/>
      <c r="J41" s="70"/>
      <c r="K41" s="70"/>
      <c r="L41" s="70"/>
      <c r="M41" s="70"/>
      <c r="N41" s="70"/>
      <c r="O41" s="70"/>
    </row>
    <row r="42" spans="1:15" s="50" customFormat="1" ht="18">
      <c r="A42" s="55">
        <v>12</v>
      </c>
      <c r="B42" s="56"/>
      <c r="C42" s="57" t="s">
        <v>1</v>
      </c>
      <c r="D42" s="58"/>
      <c r="E42" s="59"/>
      <c r="F42" s="60"/>
      <c r="G42" s="61">
        <f>SUM(G43)</f>
        <v>83.76</v>
      </c>
      <c r="H42" s="408">
        <f t="shared" si="0"/>
        <v>6.926525061982414E-4</v>
      </c>
      <c r="I42" s="70"/>
      <c r="J42" s="70"/>
      <c r="K42" s="70"/>
      <c r="L42" s="70"/>
      <c r="M42" s="70"/>
      <c r="N42" s="70"/>
      <c r="O42" s="70"/>
    </row>
    <row r="43" spans="1:15" s="50" customFormat="1" ht="42.75" customHeight="1">
      <c r="A43" s="24" t="s">
        <v>54</v>
      </c>
      <c r="B43" s="521" t="s">
        <v>260</v>
      </c>
      <c r="C43" s="522" t="s">
        <v>471</v>
      </c>
      <c r="D43" s="517" t="s">
        <v>0</v>
      </c>
      <c r="E43" s="523">
        <f>2.2*1.44</f>
        <v>3.1680000000000001</v>
      </c>
      <c r="F43" s="566">
        <v>26.44</v>
      </c>
      <c r="G43" s="6">
        <f>ROUND(E43*F43,2)</f>
        <v>83.76</v>
      </c>
      <c r="H43" s="408">
        <f t="shared" si="0"/>
        <v>6.926525061982414E-4</v>
      </c>
      <c r="I43" s="70"/>
      <c r="J43" s="70"/>
      <c r="K43" s="70"/>
      <c r="L43" s="70"/>
      <c r="M43" s="70"/>
      <c r="N43" s="70"/>
      <c r="O43" s="70"/>
    </row>
    <row r="44" spans="1:15" s="50" customFormat="1" ht="18">
      <c r="A44" s="55">
        <v>13</v>
      </c>
      <c r="B44" s="56"/>
      <c r="C44" s="57" t="s">
        <v>259</v>
      </c>
      <c r="D44" s="58"/>
      <c r="E44" s="59"/>
      <c r="F44" s="60"/>
      <c r="G44" s="61">
        <f>SUM(G45)</f>
        <v>111.52</v>
      </c>
      <c r="H44" s="408">
        <f t="shared" si="0"/>
        <v>9.2221355648552863E-4</v>
      </c>
      <c r="I44" s="70"/>
      <c r="J44" s="70"/>
      <c r="K44" s="439"/>
      <c r="L44" s="70"/>
      <c r="M44" s="70"/>
      <c r="N44" s="70"/>
      <c r="O44" s="70"/>
    </row>
    <row r="45" spans="1:15" s="50" customFormat="1" ht="18">
      <c r="A45" s="24" t="s">
        <v>55</v>
      </c>
      <c r="B45" s="2" t="s">
        <v>422</v>
      </c>
      <c r="C45" s="3" t="s">
        <v>421</v>
      </c>
      <c r="D45" s="4" t="s">
        <v>9</v>
      </c>
      <c r="E45" s="566">
        <v>2</v>
      </c>
      <c r="F45" s="566">
        <v>55.76</v>
      </c>
      <c r="G45" s="6">
        <f>ROUND(E45*F45,2)</f>
        <v>111.52</v>
      </c>
      <c r="H45" s="573">
        <f t="shared" si="0"/>
        <v>9.2221355648552863E-4</v>
      </c>
      <c r="I45" s="70"/>
      <c r="J45" s="70"/>
      <c r="K45" s="70"/>
      <c r="L45" s="70"/>
      <c r="M45" s="70"/>
      <c r="N45" s="70"/>
      <c r="O45" s="70"/>
    </row>
    <row r="46" spans="1:15" s="50" customFormat="1" ht="18">
      <c r="A46" s="67"/>
      <c r="B46" s="68"/>
      <c r="C46" s="66" t="s">
        <v>78</v>
      </c>
      <c r="D46" s="68"/>
      <c r="E46" s="68"/>
      <c r="F46" s="68"/>
      <c r="G46" s="52">
        <f>SUM(G47,G51,G53,G58,G60,G62,G66,G76,G82)</f>
        <v>11109.45</v>
      </c>
      <c r="H46" s="408">
        <f t="shared" si="0"/>
        <v>9.1869488836963387E-2</v>
      </c>
      <c r="I46" s="70"/>
      <c r="J46" s="70"/>
      <c r="K46" s="70"/>
      <c r="L46" s="70"/>
      <c r="M46" s="70"/>
      <c r="N46" s="70"/>
      <c r="O46" s="70"/>
    </row>
    <row r="47" spans="1:15" s="50" customFormat="1" ht="18">
      <c r="A47" s="55">
        <v>14</v>
      </c>
      <c r="B47" s="56"/>
      <c r="C47" s="57" t="s">
        <v>3</v>
      </c>
      <c r="D47" s="58"/>
      <c r="E47" s="59"/>
      <c r="F47" s="60"/>
      <c r="G47" s="61">
        <f>SUM(G48:G50)</f>
        <v>283.08</v>
      </c>
      <c r="H47" s="408">
        <f t="shared" si="0"/>
        <v>2.340927309629873E-3</v>
      </c>
      <c r="I47" s="70"/>
      <c r="J47" s="70"/>
      <c r="K47" s="70"/>
      <c r="L47" s="70"/>
      <c r="M47" s="70"/>
      <c r="N47" s="70"/>
      <c r="O47" s="70"/>
    </row>
    <row r="48" spans="1:15" s="50" customFormat="1" ht="36">
      <c r="A48" s="1" t="s">
        <v>521</v>
      </c>
      <c r="B48" s="521">
        <v>97640</v>
      </c>
      <c r="C48" s="522" t="s">
        <v>69</v>
      </c>
      <c r="D48" s="517" t="s">
        <v>0</v>
      </c>
      <c r="E48" s="518">
        <v>22.67</v>
      </c>
      <c r="F48" s="5">
        <v>1.85</v>
      </c>
      <c r="G48" s="6">
        <f>ROUND(E48*F48,2)</f>
        <v>41.94</v>
      </c>
      <c r="H48" s="408">
        <f t="shared" si="0"/>
        <v>3.4682242251616815E-4</v>
      </c>
      <c r="I48" s="70"/>
      <c r="J48" s="70"/>
      <c r="K48" s="70"/>
      <c r="L48" s="70"/>
      <c r="M48" s="70"/>
      <c r="N48" s="70"/>
      <c r="O48" s="70"/>
    </row>
    <row r="49" spans="1:15" s="50" customFormat="1" ht="18">
      <c r="A49" s="1" t="s">
        <v>522</v>
      </c>
      <c r="B49" s="521" t="s">
        <v>71</v>
      </c>
      <c r="C49" s="522" t="s">
        <v>70</v>
      </c>
      <c r="D49" s="517" t="s">
        <v>0</v>
      </c>
      <c r="E49" s="518">
        <f>(4.59)*(2.5)</f>
        <v>11.475</v>
      </c>
      <c r="F49" s="5">
        <v>12.69</v>
      </c>
      <c r="G49" s="6">
        <f>ROUND(E49*F49,2)</f>
        <v>145.62</v>
      </c>
      <c r="H49" s="408">
        <f t="shared" si="0"/>
        <v>1.2042031751741632E-3</v>
      </c>
      <c r="I49" s="70"/>
      <c r="J49" s="70"/>
      <c r="K49" s="70"/>
      <c r="L49" s="70"/>
      <c r="M49" s="70"/>
      <c r="N49" s="70"/>
      <c r="O49" s="70"/>
    </row>
    <row r="50" spans="1:15" s="50" customFormat="1" ht="18">
      <c r="A50" s="1" t="s">
        <v>523</v>
      </c>
      <c r="B50" s="2" t="s">
        <v>473</v>
      </c>
      <c r="C50" s="3" t="s">
        <v>472</v>
      </c>
      <c r="D50" s="4" t="s">
        <v>0</v>
      </c>
      <c r="E50" s="5">
        <v>6</v>
      </c>
      <c r="F50" s="5">
        <v>15.92</v>
      </c>
      <c r="G50" s="6">
        <f>ROUND(E50*F50,2)</f>
        <v>95.52</v>
      </c>
      <c r="H50" s="573">
        <f t="shared" si="0"/>
        <v>7.8990171193954169E-4</v>
      </c>
      <c r="I50" s="70"/>
      <c r="J50" s="70"/>
      <c r="K50" s="70"/>
      <c r="L50" s="70"/>
      <c r="M50" s="70"/>
      <c r="N50" s="70"/>
      <c r="O50" s="70"/>
    </row>
    <row r="51" spans="1:15" s="50" customFormat="1" ht="18">
      <c r="A51" s="55">
        <v>15</v>
      </c>
      <c r="B51" s="56"/>
      <c r="C51" s="57" t="s">
        <v>382</v>
      </c>
      <c r="D51" s="58"/>
      <c r="E51" s="59"/>
      <c r="F51" s="60"/>
      <c r="G51" s="61">
        <f>SUM(G52)</f>
        <v>318.72000000000003</v>
      </c>
      <c r="H51" s="408">
        <f t="shared" si="0"/>
        <v>2.6356519433560592E-3</v>
      </c>
      <c r="I51" s="70"/>
      <c r="J51" s="70"/>
      <c r="K51" s="70"/>
      <c r="L51" s="70"/>
      <c r="M51" s="70"/>
      <c r="N51" s="70"/>
      <c r="O51" s="70"/>
    </row>
    <row r="52" spans="1:15" s="50" customFormat="1" ht="54">
      <c r="A52" s="1" t="s">
        <v>56</v>
      </c>
      <c r="B52" s="2" t="s">
        <v>82</v>
      </c>
      <c r="C52" s="3" t="s">
        <v>246</v>
      </c>
      <c r="D52" s="4" t="s">
        <v>0</v>
      </c>
      <c r="E52" s="5">
        <v>12</v>
      </c>
      <c r="F52" s="5">
        <v>26.56</v>
      </c>
      <c r="G52" s="6">
        <f>ROUND(E52*F52,2)</f>
        <v>318.72000000000003</v>
      </c>
      <c r="H52" s="573">
        <f t="shared" si="0"/>
        <v>2.6356519433560592E-3</v>
      </c>
      <c r="I52" s="70"/>
      <c r="J52" s="70"/>
      <c r="K52" s="70"/>
      <c r="L52" s="70"/>
      <c r="M52" s="70"/>
      <c r="N52" s="70"/>
      <c r="O52" s="70"/>
    </row>
    <row r="53" spans="1:15" s="50" customFormat="1" ht="18">
      <c r="A53" s="55">
        <v>16</v>
      </c>
      <c r="B53" s="56"/>
      <c r="C53" s="57" t="s">
        <v>1</v>
      </c>
      <c r="D53" s="58"/>
      <c r="E53" s="59"/>
      <c r="F53" s="60"/>
      <c r="G53" s="61">
        <f>SUM(G54:G57)</f>
        <v>327.72</v>
      </c>
      <c r="H53" s="408">
        <f t="shared" si="0"/>
        <v>2.7100773559131769E-3</v>
      </c>
      <c r="I53" s="70"/>
      <c r="J53" s="70"/>
      <c r="K53" s="70"/>
      <c r="L53" s="70"/>
      <c r="M53" s="70"/>
      <c r="N53" s="70"/>
      <c r="O53" s="70"/>
    </row>
    <row r="54" spans="1:15" s="50" customFormat="1" ht="36">
      <c r="A54" s="1" t="s">
        <v>57</v>
      </c>
      <c r="B54" s="521">
        <v>88497</v>
      </c>
      <c r="C54" s="522" t="s">
        <v>77</v>
      </c>
      <c r="D54" s="517" t="s">
        <v>0</v>
      </c>
      <c r="E54" s="518">
        <f>18.26*0.54</f>
        <v>9.8604000000000021</v>
      </c>
      <c r="F54" s="5">
        <v>14.18</v>
      </c>
      <c r="G54" s="6">
        <f>ROUND(E54*F54,2)</f>
        <v>139.82</v>
      </c>
      <c r="H54" s="408">
        <f t="shared" si="0"/>
        <v>1.1562401315262428E-3</v>
      </c>
      <c r="I54" s="70"/>
      <c r="J54" s="70"/>
      <c r="K54" s="70"/>
      <c r="L54" s="70"/>
      <c r="M54" s="70"/>
      <c r="N54" s="70"/>
      <c r="O54" s="70"/>
    </row>
    <row r="55" spans="1:15" s="50" customFormat="1" ht="36">
      <c r="A55" s="1" t="s">
        <v>404</v>
      </c>
      <c r="B55" s="521">
        <v>88489</v>
      </c>
      <c r="C55" s="522" t="s">
        <v>6</v>
      </c>
      <c r="D55" s="517" t="s">
        <v>0</v>
      </c>
      <c r="E55" s="518">
        <f>E54</f>
        <v>9.8604000000000021</v>
      </c>
      <c r="F55" s="5">
        <v>12.67</v>
      </c>
      <c r="G55" s="6">
        <f>ROUND(E55*F55,2)</f>
        <v>124.93</v>
      </c>
      <c r="H55" s="408">
        <f t="shared" si="0"/>
        <v>1.033107421195634E-3</v>
      </c>
      <c r="I55" s="70"/>
      <c r="J55" s="70"/>
      <c r="K55" s="70"/>
      <c r="L55" s="70"/>
      <c r="M55" s="70"/>
      <c r="N55" s="70"/>
      <c r="O55" s="70"/>
    </row>
    <row r="56" spans="1:15" s="50" customFormat="1" ht="36">
      <c r="A56" s="7" t="s">
        <v>570</v>
      </c>
      <c r="B56" s="2" t="s">
        <v>446</v>
      </c>
      <c r="C56" s="3" t="s">
        <v>447</v>
      </c>
      <c r="D56" s="4" t="s">
        <v>0</v>
      </c>
      <c r="E56" s="5">
        <f>1.4*1.7</f>
        <v>2.38</v>
      </c>
      <c r="F56" s="5">
        <v>9.08</v>
      </c>
      <c r="G56" s="6">
        <f>ROUND(E56*F56,2)</f>
        <v>21.61</v>
      </c>
      <c r="H56" s="573">
        <f t="shared" si="0"/>
        <v>1.7870368503992355E-4</v>
      </c>
      <c r="I56" s="70"/>
      <c r="J56" s="70"/>
      <c r="K56" s="70"/>
      <c r="L56" s="70"/>
      <c r="M56" s="70"/>
      <c r="N56" s="70"/>
      <c r="O56" s="70"/>
    </row>
    <row r="57" spans="1:15" s="50" customFormat="1" ht="36">
      <c r="A57" s="7" t="s">
        <v>571</v>
      </c>
      <c r="B57" s="2" t="s">
        <v>444</v>
      </c>
      <c r="C57" s="3" t="s">
        <v>445</v>
      </c>
      <c r="D57" s="4" t="s">
        <v>0</v>
      </c>
      <c r="E57" s="5">
        <f>E56</f>
        <v>2.38</v>
      </c>
      <c r="F57" s="4">
        <v>17.38</v>
      </c>
      <c r="G57" s="6">
        <f>ROUND(E57*F57,2)</f>
        <v>41.36</v>
      </c>
      <c r="H57" s="573">
        <f t="shared" si="0"/>
        <v>3.420261181513761E-4</v>
      </c>
      <c r="I57" s="70"/>
      <c r="J57" s="70"/>
      <c r="K57" s="70"/>
      <c r="L57" s="70"/>
      <c r="M57" s="70"/>
      <c r="N57" s="70"/>
      <c r="O57" s="70"/>
    </row>
    <row r="58" spans="1:15" s="50" customFormat="1" ht="18" customHeight="1">
      <c r="A58" s="55">
        <v>17</v>
      </c>
      <c r="B58" s="56"/>
      <c r="C58" s="57" t="s">
        <v>2</v>
      </c>
      <c r="D58" s="58"/>
      <c r="E58" s="59"/>
      <c r="F58" s="60"/>
      <c r="G58" s="61">
        <f>SUM(G59)</f>
        <v>2192.42</v>
      </c>
      <c r="H58" s="408">
        <f t="shared" si="0"/>
        <v>1.8130195888719537E-2</v>
      </c>
      <c r="I58" s="70"/>
      <c r="J58" s="70"/>
      <c r="K58" s="70"/>
      <c r="L58" s="70"/>
      <c r="M58" s="70"/>
      <c r="N58" s="70"/>
      <c r="O58" s="70"/>
    </row>
    <row r="59" spans="1:15" s="50" customFormat="1" ht="36">
      <c r="A59" s="1" t="s">
        <v>58</v>
      </c>
      <c r="B59" s="2" t="s">
        <v>431</v>
      </c>
      <c r="C59" s="3" t="s">
        <v>477</v>
      </c>
      <c r="D59" s="4" t="s">
        <v>0</v>
      </c>
      <c r="E59" s="5">
        <v>22.67</v>
      </c>
      <c r="F59" s="5">
        <v>96.71</v>
      </c>
      <c r="G59" s="63">
        <f>ROUND(E59*F59,2)</f>
        <v>2192.42</v>
      </c>
      <c r="H59" s="573">
        <f t="shared" si="0"/>
        <v>1.8130195888719537E-2</v>
      </c>
      <c r="I59" s="70"/>
      <c r="J59" s="70"/>
      <c r="K59" s="70"/>
      <c r="L59" s="70"/>
      <c r="M59" s="70"/>
      <c r="N59" s="70"/>
      <c r="O59" s="70"/>
    </row>
    <row r="60" spans="1:15" s="50" customFormat="1" ht="18">
      <c r="A60" s="55">
        <v>18</v>
      </c>
      <c r="B60" s="56"/>
      <c r="C60" s="57" t="s">
        <v>100</v>
      </c>
      <c r="D60" s="58"/>
      <c r="E60" s="59"/>
      <c r="F60" s="60"/>
      <c r="G60" s="61">
        <f>SUM(G61:G61)</f>
        <v>579.84</v>
      </c>
      <c r="H60" s="408">
        <f t="shared" si="0"/>
        <v>4.7949812463465649E-3</v>
      </c>
      <c r="I60" s="70"/>
      <c r="J60" s="70"/>
      <c r="K60" s="70"/>
      <c r="L60" s="70"/>
      <c r="M60" s="70"/>
      <c r="N60" s="70"/>
      <c r="O60" s="70"/>
    </row>
    <row r="61" spans="1:15" s="50" customFormat="1" ht="18">
      <c r="A61" s="7" t="s">
        <v>59</v>
      </c>
      <c r="B61" s="515" t="s">
        <v>76</v>
      </c>
      <c r="C61" s="516" t="s">
        <v>75</v>
      </c>
      <c r="D61" s="517" t="s">
        <v>0</v>
      </c>
      <c r="E61" s="518">
        <v>1.68</v>
      </c>
      <c r="F61" s="5">
        <v>345.14</v>
      </c>
      <c r="G61" s="6">
        <f>ROUND(E61*F61,2)</f>
        <v>579.84</v>
      </c>
      <c r="H61" s="408">
        <f t="shared" si="0"/>
        <v>4.7949812463465649E-3</v>
      </c>
      <c r="I61" s="70"/>
      <c r="J61" s="70"/>
      <c r="K61" s="70"/>
      <c r="L61" s="70"/>
      <c r="M61" s="70"/>
      <c r="N61" s="70"/>
      <c r="O61" s="70"/>
    </row>
    <row r="62" spans="1:15" s="50" customFormat="1" ht="18">
      <c r="A62" s="55">
        <v>19</v>
      </c>
      <c r="B62" s="56"/>
      <c r="C62" s="57" t="s">
        <v>4</v>
      </c>
      <c r="D62" s="58"/>
      <c r="E62" s="59"/>
      <c r="F62" s="60"/>
      <c r="G62" s="61">
        <f>SUM(G63:G65)</f>
        <v>3853.39</v>
      </c>
      <c r="H62" s="408">
        <f t="shared" si="0"/>
        <v>3.1865571165941277E-2</v>
      </c>
      <c r="I62" s="70"/>
      <c r="J62" s="70"/>
      <c r="K62" s="70"/>
      <c r="L62" s="70"/>
      <c r="M62" s="70"/>
      <c r="N62" s="70"/>
      <c r="O62" s="70"/>
    </row>
    <row r="63" spans="1:15" s="50" customFormat="1" ht="18">
      <c r="A63" s="7" t="s">
        <v>60</v>
      </c>
      <c r="B63" s="515" t="s">
        <v>73</v>
      </c>
      <c r="C63" s="516" t="s">
        <v>72</v>
      </c>
      <c r="D63" s="517" t="s">
        <v>9</v>
      </c>
      <c r="E63" s="518">
        <v>1</v>
      </c>
      <c r="F63" s="5">
        <v>311.56</v>
      </c>
      <c r="G63" s="6">
        <f>ROUND(E63*F63,2)</f>
        <v>311.56</v>
      </c>
      <c r="H63" s="408">
        <f t="shared" si="0"/>
        <v>2.5764423929217298E-3</v>
      </c>
      <c r="I63" s="70"/>
      <c r="J63" s="70"/>
      <c r="K63" s="70"/>
      <c r="L63" s="70"/>
      <c r="M63" s="70"/>
      <c r="N63" s="70"/>
      <c r="O63" s="70"/>
    </row>
    <row r="64" spans="1:15" s="50" customFormat="1" ht="36">
      <c r="A64" s="7" t="s">
        <v>101</v>
      </c>
      <c r="B64" s="521" t="s">
        <v>431</v>
      </c>
      <c r="C64" s="522" t="s">
        <v>74</v>
      </c>
      <c r="D64" s="517" t="s">
        <v>0</v>
      </c>
      <c r="E64" s="518">
        <v>11.66</v>
      </c>
      <c r="F64" s="5">
        <v>272.83999999999997</v>
      </c>
      <c r="G64" s="6">
        <f>ROUND(E64*F64,2)</f>
        <v>3181.31</v>
      </c>
      <c r="H64" s="408">
        <f t="shared" si="0"/>
        <v>2.6307812135787097E-2</v>
      </c>
      <c r="I64" s="70"/>
      <c r="J64" s="70"/>
      <c r="K64" s="70"/>
      <c r="L64" s="70"/>
      <c r="M64" s="70"/>
      <c r="N64" s="70"/>
      <c r="O64" s="70"/>
    </row>
    <row r="65" spans="1:15" s="50" customFormat="1" ht="36">
      <c r="A65" s="7" t="s">
        <v>524</v>
      </c>
      <c r="B65" s="2" t="s">
        <v>428</v>
      </c>
      <c r="C65" s="3" t="s">
        <v>476</v>
      </c>
      <c r="D65" s="4" t="s">
        <v>0</v>
      </c>
      <c r="E65" s="5">
        <f>1.4*1.7</f>
        <v>2.38</v>
      </c>
      <c r="F65" s="5">
        <v>151.47999999999999</v>
      </c>
      <c r="G65" s="6">
        <f>ROUND(E65*F65,2)</f>
        <v>360.52</v>
      </c>
      <c r="H65" s="573">
        <f t="shared" si="0"/>
        <v>2.9813166372324494E-3</v>
      </c>
      <c r="I65" s="70"/>
      <c r="J65" s="70"/>
      <c r="K65" s="70"/>
      <c r="L65" s="70"/>
      <c r="M65" s="70"/>
      <c r="N65" s="70"/>
      <c r="O65" s="70"/>
    </row>
    <row r="66" spans="1:15" s="50" customFormat="1" ht="42" customHeight="1">
      <c r="A66" s="55">
        <v>20</v>
      </c>
      <c r="B66" s="56"/>
      <c r="C66" s="57" t="s">
        <v>452</v>
      </c>
      <c r="D66" s="58"/>
      <c r="E66" s="59"/>
      <c r="F66" s="60"/>
      <c r="G66" s="61">
        <f>SUM(G67:G75)</f>
        <v>2098.92</v>
      </c>
      <c r="H66" s="408">
        <f t="shared" si="0"/>
        <v>1.7356998547153925E-2</v>
      </c>
      <c r="I66" s="70"/>
      <c r="J66" s="70"/>
      <c r="K66" s="70"/>
      <c r="L66" s="70"/>
      <c r="M66" s="70"/>
      <c r="N66" s="70"/>
      <c r="O66" s="70"/>
    </row>
    <row r="67" spans="1:15" s="50" customFormat="1" ht="42" customHeight="1">
      <c r="A67" s="588" t="s">
        <v>61</v>
      </c>
      <c r="B67" s="515" t="s">
        <v>614</v>
      </c>
      <c r="C67" s="516" t="s">
        <v>630</v>
      </c>
      <c r="D67" s="517" t="s">
        <v>0</v>
      </c>
      <c r="E67" s="518">
        <f>5*0.2</f>
        <v>1</v>
      </c>
      <c r="F67" s="518">
        <v>215.34</v>
      </c>
      <c r="G67" s="520">
        <f t="shared" ref="G67:G75" si="3">ROUND(E67*F67,2)</f>
        <v>215.34</v>
      </c>
      <c r="H67" s="408">
        <f t="shared" si="0"/>
        <v>1.780752037783301E-3</v>
      </c>
      <c r="I67" s="70"/>
      <c r="J67" s="70"/>
      <c r="K67" s="70"/>
      <c r="L67" s="70"/>
      <c r="M67" s="70"/>
      <c r="N67" s="70"/>
      <c r="O67" s="70"/>
    </row>
    <row r="68" spans="1:15" s="50" customFormat="1" ht="42" customHeight="1">
      <c r="A68" s="588" t="s">
        <v>405</v>
      </c>
      <c r="B68" s="515" t="s">
        <v>615</v>
      </c>
      <c r="C68" s="516" t="s">
        <v>631</v>
      </c>
      <c r="D68" s="517" t="s">
        <v>0</v>
      </c>
      <c r="E68" s="518">
        <f>5*0.4</f>
        <v>2</v>
      </c>
      <c r="F68" s="518">
        <v>10.76</v>
      </c>
      <c r="G68" s="520">
        <f t="shared" si="3"/>
        <v>21.52</v>
      </c>
      <c r="H68" s="408">
        <f t="shared" si="0"/>
        <v>1.7795943091435237E-4</v>
      </c>
      <c r="I68" s="70"/>
      <c r="J68" s="70"/>
      <c r="K68" s="70"/>
      <c r="L68" s="70"/>
      <c r="M68" s="70"/>
      <c r="N68" s="70"/>
      <c r="O68" s="70"/>
    </row>
    <row r="69" spans="1:15" s="50" customFormat="1" ht="42" customHeight="1">
      <c r="A69" s="588" t="s">
        <v>640</v>
      </c>
      <c r="B69" s="515" t="s">
        <v>616</v>
      </c>
      <c r="C69" s="516" t="s">
        <v>632</v>
      </c>
      <c r="D69" s="517" t="s">
        <v>0</v>
      </c>
      <c r="E69" s="518">
        <f>5*0.4</f>
        <v>2</v>
      </c>
      <c r="F69" s="518">
        <v>10.89</v>
      </c>
      <c r="G69" s="520">
        <f t="shared" si="3"/>
        <v>21.78</v>
      </c>
      <c r="H69" s="408">
        <f t="shared" si="0"/>
        <v>1.8010949838822467E-4</v>
      </c>
      <c r="I69" s="70"/>
      <c r="J69" s="70"/>
      <c r="K69" s="70"/>
      <c r="L69" s="70"/>
      <c r="M69" s="70"/>
      <c r="N69" s="70"/>
      <c r="O69" s="70"/>
    </row>
    <row r="70" spans="1:15" s="50" customFormat="1" ht="57" customHeight="1">
      <c r="A70" s="588" t="s">
        <v>641</v>
      </c>
      <c r="B70" s="515" t="s">
        <v>619</v>
      </c>
      <c r="C70" s="516" t="s">
        <v>633</v>
      </c>
      <c r="D70" s="517" t="s">
        <v>613</v>
      </c>
      <c r="E70" s="518">
        <v>10</v>
      </c>
      <c r="F70" s="518">
        <v>15.01</v>
      </c>
      <c r="G70" s="520">
        <f t="shared" si="3"/>
        <v>150.1</v>
      </c>
      <c r="H70" s="408">
        <f t="shared" si="0"/>
        <v>1.2412504916470394E-3</v>
      </c>
      <c r="I70" s="70"/>
      <c r="J70" s="70"/>
      <c r="K70" s="70"/>
      <c r="L70" s="70"/>
      <c r="M70" s="70"/>
      <c r="N70" s="70"/>
      <c r="O70" s="70"/>
    </row>
    <row r="71" spans="1:15" s="50" customFormat="1" ht="54" customHeight="1">
      <c r="A71" s="588" t="s">
        <v>642</v>
      </c>
      <c r="B71" s="515">
        <v>92764</v>
      </c>
      <c r="C71" s="516" t="s">
        <v>634</v>
      </c>
      <c r="D71" s="517" t="s">
        <v>613</v>
      </c>
      <c r="E71" s="518">
        <v>15</v>
      </c>
      <c r="F71" s="518">
        <v>11.98</v>
      </c>
      <c r="G71" s="520">
        <f t="shared" si="3"/>
        <v>179.7</v>
      </c>
      <c r="H71" s="408">
        <f t="shared" si="0"/>
        <v>1.4860274040571152E-3</v>
      </c>
      <c r="I71" s="70"/>
      <c r="J71" s="70"/>
      <c r="K71" s="70"/>
      <c r="L71" s="70"/>
      <c r="M71" s="70"/>
      <c r="N71" s="70"/>
      <c r="O71" s="70"/>
    </row>
    <row r="72" spans="1:15" s="50" customFormat="1" ht="74.25" customHeight="1">
      <c r="A72" s="588" t="s">
        <v>643</v>
      </c>
      <c r="B72" s="515" t="s">
        <v>617</v>
      </c>
      <c r="C72" s="516" t="s">
        <v>635</v>
      </c>
      <c r="D72" s="517" t="s">
        <v>613</v>
      </c>
      <c r="E72" s="518">
        <v>2</v>
      </c>
      <c r="F72" s="518">
        <v>69.17</v>
      </c>
      <c r="G72" s="520">
        <f t="shared" si="3"/>
        <v>138.34</v>
      </c>
      <c r="H72" s="408">
        <f t="shared" si="0"/>
        <v>1.1440012859057391E-3</v>
      </c>
      <c r="I72" s="70"/>
      <c r="J72" s="70"/>
      <c r="K72" s="70"/>
      <c r="L72" s="70"/>
      <c r="M72" s="70"/>
      <c r="N72" s="70"/>
      <c r="O72" s="70"/>
    </row>
    <row r="73" spans="1:15" s="50" customFormat="1" ht="42" customHeight="1">
      <c r="A73" s="588" t="s">
        <v>644</v>
      </c>
      <c r="B73" s="515" t="s">
        <v>618</v>
      </c>
      <c r="C73" s="516" t="s">
        <v>636</v>
      </c>
      <c r="D73" s="517" t="s">
        <v>0</v>
      </c>
      <c r="E73" s="518">
        <v>3.25</v>
      </c>
      <c r="F73" s="518">
        <v>352.17</v>
      </c>
      <c r="G73" s="520">
        <f t="shared" si="3"/>
        <v>1144.55</v>
      </c>
      <c r="H73" s="408">
        <f t="shared" si="0"/>
        <v>9.4648451046943308E-3</v>
      </c>
      <c r="I73" s="70"/>
      <c r="J73" s="70"/>
      <c r="K73" s="70"/>
      <c r="L73" s="70"/>
      <c r="M73" s="70"/>
      <c r="N73" s="70"/>
      <c r="O73" s="70"/>
    </row>
    <row r="74" spans="1:15" s="50" customFormat="1" ht="55.5" customHeight="1">
      <c r="A74" s="588" t="s">
        <v>645</v>
      </c>
      <c r="B74" s="515" t="str">
        <f>COMPOSIÇÕES!D127</f>
        <v>COMPOSIÇÃO 12</v>
      </c>
      <c r="C74" s="516" t="s">
        <v>637</v>
      </c>
      <c r="D74" s="517" t="s">
        <v>5</v>
      </c>
      <c r="E74" s="518">
        <f>0.15*0.15*5</f>
        <v>0.11249999999999999</v>
      </c>
      <c r="F74" s="518">
        <f>COMPOSIÇÕES!H135</f>
        <v>631.48987</v>
      </c>
      <c r="G74" s="520">
        <f t="shared" si="3"/>
        <v>71.040000000000006</v>
      </c>
      <c r="H74" s="408">
        <f t="shared" ref="H74:H137" si="4">G74/$G$269</f>
        <v>5.8746458978418189E-4</v>
      </c>
      <c r="I74" s="70"/>
      <c r="J74" s="70"/>
      <c r="K74" s="70"/>
      <c r="L74" s="70"/>
      <c r="M74" s="70"/>
      <c r="N74" s="70"/>
      <c r="O74" s="70"/>
    </row>
    <row r="75" spans="1:15" s="50" customFormat="1" ht="42" customHeight="1">
      <c r="A75" s="588" t="s">
        <v>646</v>
      </c>
      <c r="B75" s="515" t="s">
        <v>638</v>
      </c>
      <c r="C75" s="516" t="s">
        <v>639</v>
      </c>
      <c r="D75" s="517" t="s">
        <v>10</v>
      </c>
      <c r="E75" s="518">
        <v>5</v>
      </c>
      <c r="F75" s="518">
        <v>31.31</v>
      </c>
      <c r="G75" s="520">
        <f t="shared" si="3"/>
        <v>156.55000000000001</v>
      </c>
      <c r="H75" s="408">
        <f t="shared" si="4"/>
        <v>1.2945887039796406E-3</v>
      </c>
      <c r="I75" s="70"/>
      <c r="J75" s="70"/>
      <c r="K75" s="70"/>
      <c r="L75" s="70"/>
      <c r="M75" s="70"/>
      <c r="N75" s="70"/>
      <c r="O75" s="70"/>
    </row>
    <row r="76" spans="1:15" s="50" customFormat="1" ht="42" customHeight="1">
      <c r="A76" s="55">
        <v>21</v>
      </c>
      <c r="B76" s="56"/>
      <c r="C76" s="57" t="s">
        <v>259</v>
      </c>
      <c r="D76" s="58"/>
      <c r="E76" s="59"/>
      <c r="F76" s="60"/>
      <c r="G76" s="61">
        <f>SUM(G77:G81)</f>
        <v>873.17</v>
      </c>
      <c r="H76" s="408">
        <f t="shared" si="4"/>
        <v>7.2206708313887107E-3</v>
      </c>
      <c r="I76" s="70"/>
      <c r="J76" s="70"/>
      <c r="K76" s="70"/>
      <c r="L76" s="70"/>
      <c r="M76" s="70"/>
      <c r="N76" s="70"/>
      <c r="O76" s="70"/>
    </row>
    <row r="77" spans="1:15" s="50" customFormat="1" ht="42" customHeight="1">
      <c r="A77" s="24" t="s">
        <v>62</v>
      </c>
      <c r="B77" s="2">
        <v>97665</v>
      </c>
      <c r="C77" s="3" t="s">
        <v>425</v>
      </c>
      <c r="D77" s="4" t="s">
        <v>9</v>
      </c>
      <c r="E77" s="566">
        <v>4</v>
      </c>
      <c r="F77" s="566">
        <v>1.1599999999999999</v>
      </c>
      <c r="G77" s="6">
        <f>ROUND(E77*F77,2)</f>
        <v>4.6399999999999997</v>
      </c>
      <c r="H77" s="573">
        <f t="shared" si="4"/>
        <v>3.8370434918336195E-5</v>
      </c>
      <c r="I77" s="70"/>
      <c r="J77" s="70"/>
      <c r="K77" s="70"/>
      <c r="L77" s="70"/>
      <c r="M77" s="70"/>
      <c r="N77" s="70"/>
      <c r="O77" s="70"/>
    </row>
    <row r="78" spans="1:15" s="50" customFormat="1" ht="42" customHeight="1">
      <c r="A78" s="24" t="s">
        <v>572</v>
      </c>
      <c r="B78" s="2" t="s">
        <v>427</v>
      </c>
      <c r="C78" s="3" t="s">
        <v>426</v>
      </c>
      <c r="D78" s="4" t="s">
        <v>9</v>
      </c>
      <c r="E78" s="566">
        <v>4</v>
      </c>
      <c r="F78" s="566">
        <v>173.17</v>
      </c>
      <c r="G78" s="6">
        <f>ROUND(E78*F78,2)</f>
        <v>692.68</v>
      </c>
      <c r="H78" s="573">
        <f t="shared" si="4"/>
        <v>5.7281105300071369E-3</v>
      </c>
      <c r="I78" s="70"/>
      <c r="J78" s="70"/>
      <c r="K78" s="70"/>
      <c r="L78" s="70"/>
      <c r="M78" s="70"/>
      <c r="N78" s="70"/>
      <c r="O78" s="70"/>
    </row>
    <row r="79" spans="1:15" s="50" customFormat="1" ht="36">
      <c r="A79" s="24" t="s">
        <v>573</v>
      </c>
      <c r="B79" s="2">
        <v>95730</v>
      </c>
      <c r="C79" s="3" t="s">
        <v>420</v>
      </c>
      <c r="D79" s="4" t="s">
        <v>10</v>
      </c>
      <c r="E79" s="566">
        <v>4.3</v>
      </c>
      <c r="F79" s="566">
        <v>9.3699999999999992</v>
      </c>
      <c r="G79" s="6">
        <f>ROUND(E79*F79,2)</f>
        <v>40.29</v>
      </c>
      <c r="H79" s="573">
        <f t="shared" si="4"/>
        <v>3.3317776354736323E-4</v>
      </c>
      <c r="I79" s="70"/>
      <c r="J79" s="70"/>
      <c r="K79" s="70"/>
      <c r="L79" s="70"/>
      <c r="M79" s="70"/>
      <c r="N79" s="70"/>
      <c r="O79" s="70"/>
    </row>
    <row r="80" spans="1:15" s="50" customFormat="1" ht="36">
      <c r="A80" s="24" t="s">
        <v>574</v>
      </c>
      <c r="B80" s="2" t="str">
        <f>COMPOSIÇÕES!D36</f>
        <v xml:space="preserve">COMPOSIÇÃO 03  </v>
      </c>
      <c r="C80" s="3" t="str">
        <f>COMPOSIÇÕES!D37</f>
        <v>TOMADA TIPO CONDULETE DE SOBREPOR COMPLETA</v>
      </c>
      <c r="D80" s="4" t="s">
        <v>9</v>
      </c>
      <c r="E80" s="566">
        <v>3</v>
      </c>
      <c r="F80" s="566">
        <f>COMPOSIÇÕES!H46</f>
        <v>39.2074</v>
      </c>
      <c r="G80" s="6">
        <f>ROUND(E80*F80,2)</f>
        <v>117.62</v>
      </c>
      <c r="H80" s="573">
        <f t="shared" si="4"/>
        <v>9.7265744721868616E-4</v>
      </c>
      <c r="I80" s="70"/>
      <c r="J80" s="70"/>
      <c r="K80" s="70"/>
      <c r="L80" s="70"/>
      <c r="M80" s="70"/>
      <c r="N80" s="70"/>
      <c r="O80" s="70"/>
    </row>
    <row r="81" spans="1:15" s="50" customFormat="1" ht="18">
      <c r="A81" s="24" t="s">
        <v>575</v>
      </c>
      <c r="B81" s="2" t="s">
        <v>497</v>
      </c>
      <c r="C81" s="3" t="s">
        <v>496</v>
      </c>
      <c r="D81" s="4" t="s">
        <v>9</v>
      </c>
      <c r="E81" s="566">
        <v>1</v>
      </c>
      <c r="F81" s="566">
        <v>17.940000000000001</v>
      </c>
      <c r="G81" s="6">
        <f>ROUND(E81*F81,2)</f>
        <v>17.940000000000001</v>
      </c>
      <c r="H81" s="573">
        <f t="shared" si="4"/>
        <v>1.4835465569718783E-4</v>
      </c>
      <c r="I81" s="70"/>
      <c r="J81" s="70"/>
      <c r="K81" s="70"/>
      <c r="L81" s="70"/>
      <c r="M81" s="70"/>
      <c r="N81" s="70"/>
      <c r="O81" s="70"/>
    </row>
    <row r="82" spans="1:15" s="50" customFormat="1" ht="18">
      <c r="A82" s="55">
        <v>22</v>
      </c>
      <c r="B82" s="56"/>
      <c r="C82" s="57" t="s">
        <v>449</v>
      </c>
      <c r="D82" s="58"/>
      <c r="E82" s="59"/>
      <c r="F82" s="60"/>
      <c r="G82" s="61">
        <f>SUM(G83:G85)</f>
        <v>582.19000000000005</v>
      </c>
      <c r="H82" s="408">
        <f t="shared" si="4"/>
        <v>4.814414548514257E-3</v>
      </c>
      <c r="I82" s="70"/>
      <c r="J82" s="70"/>
      <c r="K82" s="70"/>
      <c r="L82" s="70"/>
      <c r="M82" s="70"/>
      <c r="N82" s="70"/>
      <c r="O82" s="70"/>
    </row>
    <row r="83" spans="1:15" s="50" customFormat="1" ht="18">
      <c r="A83" s="24" t="s">
        <v>63</v>
      </c>
      <c r="B83" s="2" t="str">
        <f>COMPOSIÇÕES!D49</f>
        <v>COMPOSIÇÃO 04</v>
      </c>
      <c r="C83" s="3" t="str">
        <f>COMPOSIÇÕES!D50</f>
        <v>REMOÇÃO DE CASA DE CUPIM</v>
      </c>
      <c r="D83" s="4" t="s">
        <v>459</v>
      </c>
      <c r="E83" s="566">
        <v>1</v>
      </c>
      <c r="F83" s="566">
        <f>COMPOSIÇÕES!H54</f>
        <v>88.584999999999994</v>
      </c>
      <c r="G83" s="6">
        <f>ROUND(E83*F83,2)</f>
        <v>88.59</v>
      </c>
      <c r="H83" s="573">
        <f t="shared" si="4"/>
        <v>7.3259414427056125E-4</v>
      </c>
      <c r="I83" s="70"/>
      <c r="J83" s="70"/>
      <c r="K83" s="70"/>
      <c r="L83" s="70"/>
      <c r="M83" s="70"/>
      <c r="N83" s="70"/>
      <c r="O83" s="70"/>
    </row>
    <row r="84" spans="1:15" s="50" customFormat="1" ht="36">
      <c r="A84" s="24" t="s">
        <v>525</v>
      </c>
      <c r="B84" s="2">
        <v>88315</v>
      </c>
      <c r="C84" s="3" t="s">
        <v>450</v>
      </c>
      <c r="D84" s="4" t="s">
        <v>279</v>
      </c>
      <c r="E84" s="566">
        <v>8</v>
      </c>
      <c r="F84" s="566">
        <v>26.51</v>
      </c>
      <c r="G84" s="6">
        <f>ROUND(E84*F84,2)</f>
        <v>212.08</v>
      </c>
      <c r="H84" s="573">
        <f t="shared" si="4"/>
        <v>1.7537934994570565E-3</v>
      </c>
      <c r="I84" s="70"/>
      <c r="J84" s="70"/>
      <c r="K84" s="70"/>
      <c r="L84" s="70"/>
      <c r="M84" s="70"/>
      <c r="N84" s="70"/>
      <c r="O84" s="70"/>
    </row>
    <row r="85" spans="1:15" s="50" customFormat="1" ht="36">
      <c r="A85" s="24" t="s">
        <v>526</v>
      </c>
      <c r="B85" s="2">
        <v>88278</v>
      </c>
      <c r="C85" s="3" t="s">
        <v>451</v>
      </c>
      <c r="D85" s="4" t="s">
        <v>279</v>
      </c>
      <c r="E85" s="566">
        <v>8</v>
      </c>
      <c r="F85" s="566">
        <v>35.19</v>
      </c>
      <c r="G85" s="6">
        <f>ROUND(E85*F85,2)</f>
        <v>281.52</v>
      </c>
      <c r="H85" s="573">
        <f t="shared" si="4"/>
        <v>2.3280269047866392E-3</v>
      </c>
      <c r="I85" s="70"/>
      <c r="J85" s="70"/>
      <c r="K85" s="70"/>
      <c r="L85" s="70"/>
      <c r="M85" s="70"/>
      <c r="N85" s="70"/>
      <c r="O85" s="70"/>
    </row>
    <row r="86" spans="1:15" s="50" customFormat="1" ht="18">
      <c r="A86" s="67"/>
      <c r="B86" s="68"/>
      <c r="C86" s="66" t="s">
        <v>79</v>
      </c>
      <c r="D86" s="68"/>
      <c r="E86" s="68"/>
      <c r="F86" s="68"/>
      <c r="G86" s="52">
        <f>SUM(G87,G91,G96,G100,G102,G106,G109,G113,G115)</f>
        <v>11385.320000000002</v>
      </c>
      <c r="H86" s="408">
        <f t="shared" si="4"/>
        <v>9.4150793121644732E-2</v>
      </c>
      <c r="I86" s="70"/>
      <c r="J86" s="70"/>
      <c r="K86" s="70"/>
      <c r="L86" s="70"/>
      <c r="M86" s="70"/>
      <c r="N86" s="70"/>
      <c r="O86" s="70"/>
    </row>
    <row r="87" spans="1:15" s="50" customFormat="1" ht="18">
      <c r="A87" s="55">
        <v>23</v>
      </c>
      <c r="B87" s="56"/>
      <c r="C87" s="57" t="s">
        <v>3</v>
      </c>
      <c r="D87" s="58"/>
      <c r="E87" s="59"/>
      <c r="F87" s="60"/>
      <c r="G87" s="61">
        <f>SUM(G88:G90)</f>
        <v>215.24</v>
      </c>
      <c r="H87" s="408">
        <f t="shared" si="4"/>
        <v>1.7799250887548888E-3</v>
      </c>
      <c r="I87" s="70"/>
      <c r="J87" s="70"/>
      <c r="K87" s="70"/>
      <c r="L87" s="70"/>
      <c r="M87" s="70"/>
      <c r="N87" s="70"/>
      <c r="O87" s="70"/>
    </row>
    <row r="88" spans="1:15" s="50" customFormat="1" ht="36">
      <c r="A88" s="1" t="s">
        <v>64</v>
      </c>
      <c r="B88" s="2" t="s">
        <v>7</v>
      </c>
      <c r="C88" s="3" t="s">
        <v>99</v>
      </c>
      <c r="D88" s="4" t="s">
        <v>0</v>
      </c>
      <c r="E88" s="5">
        <f>1.8*1.27*2</f>
        <v>4.5720000000000001</v>
      </c>
      <c r="F88" s="5">
        <v>14.26</v>
      </c>
      <c r="G88" s="6">
        <f>ROUND(E88*F88,2)</f>
        <v>65.2</v>
      </c>
      <c r="H88" s="573">
        <f t="shared" si="4"/>
        <v>5.3917076652489656E-4</v>
      </c>
      <c r="I88" s="70"/>
      <c r="J88" s="70"/>
      <c r="K88" s="70"/>
      <c r="L88" s="70"/>
      <c r="M88" s="70"/>
      <c r="N88" s="70"/>
      <c r="O88" s="70"/>
    </row>
    <row r="89" spans="1:15" s="50" customFormat="1" ht="36">
      <c r="A89" s="1" t="s">
        <v>527</v>
      </c>
      <c r="B89" s="521">
        <v>97622</v>
      </c>
      <c r="C89" s="522" t="s">
        <v>247</v>
      </c>
      <c r="D89" s="517" t="s">
        <v>5</v>
      </c>
      <c r="E89" s="518">
        <f>2.68*0.6*0.25</f>
        <v>0.40200000000000002</v>
      </c>
      <c r="F89" s="5">
        <v>49.67</v>
      </c>
      <c r="G89" s="6">
        <f>ROUND(E89*F89,2)</f>
        <v>19.97</v>
      </c>
      <c r="H89" s="408">
        <f t="shared" si="4"/>
        <v>1.6514172097395989E-4</v>
      </c>
      <c r="I89" s="70"/>
      <c r="J89" s="70"/>
      <c r="K89" s="70"/>
      <c r="L89" s="70"/>
      <c r="M89" s="70"/>
      <c r="N89" s="70"/>
      <c r="O89" s="70"/>
    </row>
    <row r="90" spans="1:15" s="50" customFormat="1" ht="36">
      <c r="A90" s="1" t="s">
        <v>528</v>
      </c>
      <c r="B90" s="521">
        <v>97640</v>
      </c>
      <c r="C90" s="522" t="s">
        <v>69</v>
      </c>
      <c r="D90" s="517" t="s">
        <v>0</v>
      </c>
      <c r="E90" s="518">
        <v>70.31</v>
      </c>
      <c r="F90" s="5">
        <v>1.85</v>
      </c>
      <c r="G90" s="6">
        <f>ROUND(E90*F90,2)</f>
        <v>130.07</v>
      </c>
      <c r="H90" s="408">
        <f t="shared" si="4"/>
        <v>1.0756126012560323E-3</v>
      </c>
      <c r="I90" s="70"/>
      <c r="J90" s="70"/>
      <c r="K90" s="70"/>
      <c r="L90" s="70"/>
      <c r="M90" s="70"/>
      <c r="N90" s="70"/>
      <c r="O90" s="70"/>
    </row>
    <row r="91" spans="1:15" s="50" customFormat="1" ht="18" customHeight="1">
      <c r="A91" s="55">
        <v>24</v>
      </c>
      <c r="B91" s="56"/>
      <c r="C91" s="57" t="s">
        <v>386</v>
      </c>
      <c r="D91" s="58"/>
      <c r="E91" s="59"/>
      <c r="F91" s="60"/>
      <c r="G91" s="61">
        <f>SUM(G92:G95)</f>
        <v>901.90000000000009</v>
      </c>
      <c r="H91" s="408">
        <f t="shared" si="4"/>
        <v>7.4582532872515999E-3</v>
      </c>
      <c r="I91" s="70"/>
      <c r="J91" s="70"/>
      <c r="K91" s="70"/>
      <c r="L91" s="70"/>
      <c r="M91" s="70"/>
      <c r="N91" s="70"/>
      <c r="O91" s="70"/>
    </row>
    <row r="92" spans="1:15" s="50" customFormat="1" ht="18" customHeight="1">
      <c r="A92" s="1" t="s">
        <v>65</v>
      </c>
      <c r="B92" s="2" t="s">
        <v>11</v>
      </c>
      <c r="C92" s="3" t="s">
        <v>248</v>
      </c>
      <c r="D92" s="4" t="s">
        <v>0</v>
      </c>
      <c r="E92" s="5">
        <f>4*0.25</f>
        <v>1</v>
      </c>
      <c r="F92" s="5">
        <v>211.35</v>
      </c>
      <c r="G92" s="6">
        <f>ROUND(E92*F92,2)</f>
        <v>211.35</v>
      </c>
      <c r="H92" s="573">
        <f t="shared" si="4"/>
        <v>1.7477567715496456E-3</v>
      </c>
      <c r="I92" s="70"/>
      <c r="J92" s="70"/>
      <c r="K92" s="70"/>
      <c r="L92" s="70"/>
      <c r="M92" s="70"/>
      <c r="N92" s="70"/>
      <c r="O92" s="70"/>
    </row>
    <row r="93" spans="1:15" s="50" customFormat="1" ht="36">
      <c r="A93" s="1" t="s">
        <v>66</v>
      </c>
      <c r="B93" s="2">
        <v>93183</v>
      </c>
      <c r="C93" s="3" t="s">
        <v>249</v>
      </c>
      <c r="D93" s="4" t="s">
        <v>10</v>
      </c>
      <c r="E93" s="5">
        <v>4</v>
      </c>
      <c r="F93" s="5">
        <v>70.569999999999993</v>
      </c>
      <c r="G93" s="6">
        <f>ROUND(E93*F93,2)</f>
        <v>282.27999999999997</v>
      </c>
      <c r="H93" s="573">
        <f t="shared" si="4"/>
        <v>2.3343117174025735E-3</v>
      </c>
      <c r="I93" s="70"/>
      <c r="J93" s="70"/>
      <c r="K93" s="70"/>
      <c r="L93" s="70"/>
      <c r="M93" s="70"/>
      <c r="N93" s="70"/>
      <c r="O93" s="70"/>
    </row>
    <row r="94" spans="1:15" s="50" customFormat="1" ht="36">
      <c r="A94" s="1" t="s">
        <v>529</v>
      </c>
      <c r="B94" s="2">
        <v>93195</v>
      </c>
      <c r="C94" s="3" t="s">
        <v>250</v>
      </c>
      <c r="D94" s="4" t="s">
        <v>10</v>
      </c>
      <c r="E94" s="5">
        <v>4</v>
      </c>
      <c r="F94" s="5">
        <v>65.77</v>
      </c>
      <c r="G94" s="6">
        <f>ROUND(E94*F94,2)</f>
        <v>263.08</v>
      </c>
      <c r="H94" s="573">
        <f t="shared" si="4"/>
        <v>2.1755375039473894E-3</v>
      </c>
      <c r="I94" s="70"/>
      <c r="J94" s="70"/>
      <c r="K94" s="70"/>
      <c r="L94" s="70"/>
      <c r="M94" s="70"/>
      <c r="N94" s="70"/>
      <c r="O94" s="70"/>
    </row>
    <row r="95" spans="1:15" s="50" customFormat="1" ht="54.75" customHeight="1">
      <c r="A95" s="1" t="s">
        <v>576</v>
      </c>
      <c r="B95" s="521" t="s">
        <v>264</v>
      </c>
      <c r="C95" s="522" t="s">
        <v>265</v>
      </c>
      <c r="D95" s="517" t="s">
        <v>0</v>
      </c>
      <c r="E95" s="518">
        <f>1.4*1.27*2</f>
        <v>3.5559999999999996</v>
      </c>
      <c r="F95" s="5">
        <v>40.83</v>
      </c>
      <c r="G95" s="6">
        <f>ROUND(E95*F95,2)</f>
        <v>145.19</v>
      </c>
      <c r="H95" s="408">
        <f t="shared" si="4"/>
        <v>1.2006472943519898E-3</v>
      </c>
      <c r="I95" s="70"/>
      <c r="J95" s="70"/>
      <c r="K95" s="70"/>
      <c r="L95" s="70"/>
      <c r="M95" s="70"/>
      <c r="N95" s="70"/>
      <c r="O95" s="70"/>
    </row>
    <row r="96" spans="1:15" s="50" customFormat="1" ht="17.25" customHeight="1">
      <c r="A96" s="55">
        <v>25</v>
      </c>
      <c r="B96" s="56"/>
      <c r="C96" s="57" t="s">
        <v>387</v>
      </c>
      <c r="D96" s="58"/>
      <c r="E96" s="59"/>
      <c r="F96" s="60"/>
      <c r="G96" s="61">
        <f>SUM(G97:G99)</f>
        <v>499.81</v>
      </c>
      <c r="H96" s="408">
        <f t="shared" si="4"/>
        <v>4.133173938908107E-3</v>
      </c>
      <c r="I96" s="70"/>
      <c r="J96" s="70"/>
      <c r="K96" s="70"/>
      <c r="L96" s="70"/>
      <c r="M96" s="70"/>
      <c r="N96" s="70"/>
      <c r="O96" s="70"/>
    </row>
    <row r="97" spans="1:15" s="50" customFormat="1" ht="72">
      <c r="A97" s="1" t="s">
        <v>94</v>
      </c>
      <c r="B97" s="521">
        <v>87794</v>
      </c>
      <c r="C97" s="522" t="s">
        <v>266</v>
      </c>
      <c r="D97" s="517" t="s">
        <v>0</v>
      </c>
      <c r="E97" s="518">
        <f>(4*0.15*2)+(1.4*1.27*2)</f>
        <v>4.7559999999999993</v>
      </c>
      <c r="F97" s="5">
        <v>42.24</v>
      </c>
      <c r="G97" s="6">
        <f>ROUND(E97*F97,2)</f>
        <v>200.89</v>
      </c>
      <c r="H97" s="408">
        <f t="shared" si="4"/>
        <v>1.6612579031777066E-3</v>
      </c>
      <c r="I97" s="70"/>
      <c r="J97" s="70"/>
      <c r="K97" s="70"/>
      <c r="L97" s="70"/>
      <c r="M97" s="70"/>
      <c r="N97" s="70"/>
      <c r="O97" s="70"/>
    </row>
    <row r="98" spans="1:15" s="50" customFormat="1" ht="38.25" customHeight="1">
      <c r="A98" s="1" t="s">
        <v>530</v>
      </c>
      <c r="B98" s="515">
        <v>87536</v>
      </c>
      <c r="C98" s="516" t="s">
        <v>267</v>
      </c>
      <c r="D98" s="517" t="s">
        <v>0</v>
      </c>
      <c r="E98" s="518">
        <f>(4*0.15*2)+(1.4*1.27*2)</f>
        <v>4.7559999999999993</v>
      </c>
      <c r="F98" s="5">
        <v>36.29</v>
      </c>
      <c r="G98" s="6">
        <f>ROUND(E98*F98,2)</f>
        <v>172.6</v>
      </c>
      <c r="H98" s="408">
        <f t="shared" si="4"/>
        <v>1.4273140230398336E-3</v>
      </c>
      <c r="I98" s="70"/>
      <c r="J98" s="70"/>
      <c r="K98" s="70"/>
      <c r="L98" s="70"/>
      <c r="M98" s="70"/>
      <c r="N98" s="70"/>
      <c r="O98" s="70"/>
    </row>
    <row r="99" spans="1:15" s="50" customFormat="1" ht="72">
      <c r="A99" s="1" t="s">
        <v>531</v>
      </c>
      <c r="B99" s="515" t="s">
        <v>82</v>
      </c>
      <c r="C99" s="516" t="s">
        <v>271</v>
      </c>
      <c r="D99" s="517" t="s">
        <v>0</v>
      </c>
      <c r="E99" s="518">
        <f>(1.4*1.27*2)+(4*0.15*2)</f>
        <v>4.7559999999999993</v>
      </c>
      <c r="F99" s="5">
        <v>26.56</v>
      </c>
      <c r="G99" s="6">
        <f>ROUND(E99*F99,2)</f>
        <v>126.32</v>
      </c>
      <c r="H99" s="408">
        <f t="shared" si="4"/>
        <v>1.0446020126905664E-3</v>
      </c>
      <c r="I99" s="70"/>
      <c r="J99" s="70"/>
      <c r="K99" s="70"/>
      <c r="L99" s="70"/>
      <c r="M99" s="70"/>
      <c r="N99" s="70"/>
      <c r="O99" s="70"/>
    </row>
    <row r="100" spans="1:15" s="50" customFormat="1" ht="18">
      <c r="A100" s="55">
        <v>26</v>
      </c>
      <c r="B100" s="56"/>
      <c r="C100" s="57" t="s">
        <v>2</v>
      </c>
      <c r="D100" s="58"/>
      <c r="E100" s="59"/>
      <c r="F100" s="60"/>
      <c r="G100" s="61">
        <f>SUM(G101)</f>
        <v>6800.65</v>
      </c>
      <c r="H100" s="408">
        <f t="shared" si="4"/>
        <v>5.6237909100729108E-2</v>
      </c>
      <c r="I100" s="70"/>
      <c r="J100" s="70"/>
      <c r="K100" s="70"/>
      <c r="L100" s="70"/>
      <c r="M100" s="70"/>
      <c r="N100" s="70"/>
      <c r="O100" s="70"/>
    </row>
    <row r="101" spans="1:15" s="50" customFormat="1" ht="36">
      <c r="A101" s="1" t="s">
        <v>102</v>
      </c>
      <c r="B101" s="2" t="s">
        <v>431</v>
      </c>
      <c r="C101" s="3" t="s">
        <v>477</v>
      </c>
      <c r="D101" s="4" t="s">
        <v>0</v>
      </c>
      <c r="E101" s="5">
        <v>70.319999999999993</v>
      </c>
      <c r="F101" s="5">
        <v>96.71</v>
      </c>
      <c r="G101" s="6">
        <f>ROUND(E101*F101,2)</f>
        <v>6800.65</v>
      </c>
      <c r="H101" s="573">
        <f t="shared" si="4"/>
        <v>5.6237909100729108E-2</v>
      </c>
      <c r="I101" s="70"/>
      <c r="J101" s="70"/>
      <c r="K101" s="70"/>
      <c r="L101" s="70"/>
      <c r="M101" s="70"/>
      <c r="N101" s="70"/>
      <c r="O101" s="70"/>
    </row>
    <row r="102" spans="1:15" s="50" customFormat="1" ht="18">
      <c r="A102" s="55">
        <v>27</v>
      </c>
      <c r="B102" s="56"/>
      <c r="C102" s="57" t="s">
        <v>4</v>
      </c>
      <c r="D102" s="58"/>
      <c r="E102" s="59"/>
      <c r="F102" s="60"/>
      <c r="G102" s="61">
        <f>SUM(G103:G105)</f>
        <v>2060.7200000000003</v>
      </c>
      <c r="H102" s="408">
        <f t="shared" si="4"/>
        <v>1.7041104018300383E-2</v>
      </c>
      <c r="I102" s="70"/>
      <c r="J102" s="70"/>
      <c r="K102" s="70"/>
      <c r="L102" s="70"/>
      <c r="M102" s="70"/>
      <c r="N102" s="70"/>
      <c r="O102" s="70"/>
    </row>
    <row r="103" spans="1:15" s="50" customFormat="1" ht="36">
      <c r="A103" s="7" t="s">
        <v>103</v>
      </c>
      <c r="B103" s="515" t="s">
        <v>252</v>
      </c>
      <c r="C103" s="516" t="s">
        <v>270</v>
      </c>
      <c r="D103" s="517" t="s">
        <v>0</v>
      </c>
      <c r="E103" s="518">
        <f>((0.46*2)+0.92)</f>
        <v>1.84</v>
      </c>
      <c r="F103" s="5">
        <v>166.66</v>
      </c>
      <c r="G103" s="520">
        <f>ROUND(E103*F103,2)</f>
        <v>306.64999999999998</v>
      </c>
      <c r="H103" s="408">
        <f t="shared" si="4"/>
        <v>2.53583919562668E-3</v>
      </c>
      <c r="I103" s="70"/>
      <c r="J103" s="70"/>
      <c r="K103" s="70"/>
      <c r="L103" s="70"/>
      <c r="M103" s="70"/>
      <c r="N103" s="70"/>
      <c r="O103" s="70"/>
    </row>
    <row r="104" spans="1:15" s="50" customFormat="1" ht="40.5" customHeight="1">
      <c r="A104" s="7" t="s">
        <v>577</v>
      </c>
      <c r="B104" s="515" t="s">
        <v>244</v>
      </c>
      <c r="C104" s="516" t="s">
        <v>251</v>
      </c>
      <c r="D104" s="517" t="s">
        <v>0</v>
      </c>
      <c r="E104" s="518">
        <f>4*0.6</f>
        <v>2.4</v>
      </c>
      <c r="F104" s="5">
        <v>453.15</v>
      </c>
      <c r="G104" s="520">
        <f>ROUND(E104*F104,2)</f>
        <v>1087.56</v>
      </c>
      <c r="H104" s="408">
        <f t="shared" si="4"/>
        <v>8.9935668534020935E-3</v>
      </c>
      <c r="I104" s="70"/>
      <c r="J104" s="70"/>
      <c r="K104" s="70"/>
      <c r="L104" s="70"/>
      <c r="M104" s="70"/>
      <c r="N104" s="70"/>
      <c r="O104" s="70"/>
    </row>
    <row r="105" spans="1:15" s="50" customFormat="1" ht="18">
      <c r="A105" s="7" t="s">
        <v>578</v>
      </c>
      <c r="B105" s="2" t="s">
        <v>428</v>
      </c>
      <c r="C105" s="3" t="s">
        <v>429</v>
      </c>
      <c r="D105" s="4" t="s">
        <v>0</v>
      </c>
      <c r="E105" s="5">
        <f>4.4*1</f>
        <v>4.4000000000000004</v>
      </c>
      <c r="F105" s="5">
        <v>151.47999999999999</v>
      </c>
      <c r="G105" s="6">
        <f>ROUND(E105*F105,2)</f>
        <v>666.51</v>
      </c>
      <c r="H105" s="573">
        <f t="shared" si="4"/>
        <v>5.5116979692716077E-3</v>
      </c>
      <c r="I105" s="70"/>
      <c r="J105" s="70"/>
      <c r="K105" s="70"/>
      <c r="L105" s="70"/>
      <c r="M105" s="70"/>
      <c r="N105" s="70"/>
      <c r="O105" s="70"/>
    </row>
    <row r="106" spans="1:15" s="50" customFormat="1" ht="22.5" customHeight="1">
      <c r="A106" s="55">
        <v>28</v>
      </c>
      <c r="B106" s="56"/>
      <c r="C106" s="57" t="s">
        <v>1</v>
      </c>
      <c r="D106" s="58"/>
      <c r="E106" s="59"/>
      <c r="F106" s="60"/>
      <c r="G106" s="61">
        <f>SUM(G107:G108)</f>
        <v>116.42</v>
      </c>
      <c r="H106" s="408">
        <f t="shared" si="4"/>
        <v>9.6273405887773713E-4</v>
      </c>
      <c r="I106" s="70"/>
      <c r="J106" s="70"/>
      <c r="K106" s="70"/>
      <c r="L106" s="70"/>
      <c r="M106" s="70"/>
      <c r="N106" s="70"/>
      <c r="O106" s="70"/>
    </row>
    <row r="107" spans="1:15" s="50" customFormat="1" ht="36">
      <c r="A107" s="7" t="s">
        <v>104</v>
      </c>
      <c r="B107" s="2" t="s">
        <v>446</v>
      </c>
      <c r="C107" s="3" t="s">
        <v>447</v>
      </c>
      <c r="D107" s="4" t="s">
        <v>0</v>
      </c>
      <c r="E107" s="5">
        <v>4.4000000000000004</v>
      </c>
      <c r="F107" s="5">
        <v>9.08</v>
      </c>
      <c r="G107" s="6">
        <f>ROUND(E107*F107,2)</f>
        <v>39.950000000000003</v>
      </c>
      <c r="H107" s="573">
        <f t="shared" si="4"/>
        <v>3.3036613685076104E-4</v>
      </c>
      <c r="I107" s="70"/>
      <c r="J107" s="70"/>
      <c r="K107" s="70"/>
      <c r="L107" s="70"/>
      <c r="M107" s="70"/>
      <c r="N107" s="70"/>
      <c r="O107" s="70"/>
    </row>
    <row r="108" spans="1:15" s="50" customFormat="1" ht="36">
      <c r="A108" s="7" t="s">
        <v>532</v>
      </c>
      <c r="B108" s="2" t="s">
        <v>444</v>
      </c>
      <c r="C108" s="3" t="s">
        <v>445</v>
      </c>
      <c r="D108" s="4" t="s">
        <v>0</v>
      </c>
      <c r="E108" s="5">
        <v>4.4000000000000004</v>
      </c>
      <c r="F108" s="4">
        <v>17.38</v>
      </c>
      <c r="G108" s="6">
        <f>ROUND(E108*F108,2)</f>
        <v>76.47</v>
      </c>
      <c r="H108" s="573">
        <f t="shared" si="4"/>
        <v>6.3236792202697614E-4</v>
      </c>
      <c r="I108" s="70"/>
      <c r="J108" s="70"/>
      <c r="K108" s="70"/>
      <c r="L108" s="70"/>
      <c r="M108" s="70"/>
      <c r="N108" s="70"/>
      <c r="O108" s="70"/>
    </row>
    <row r="109" spans="1:15" s="50" customFormat="1" ht="18" customHeight="1">
      <c r="A109" s="55">
        <v>29</v>
      </c>
      <c r="B109" s="56"/>
      <c r="C109" s="57" t="s">
        <v>259</v>
      </c>
      <c r="D109" s="58"/>
      <c r="E109" s="59"/>
      <c r="F109" s="60"/>
      <c r="G109" s="61">
        <f>SUM(G110:G112)</f>
        <v>715.35</v>
      </c>
      <c r="H109" s="408">
        <f t="shared" si="4"/>
        <v>5.9155798747482329E-3</v>
      </c>
      <c r="I109" s="70"/>
      <c r="J109" s="70"/>
      <c r="K109" s="70"/>
      <c r="L109" s="70"/>
      <c r="M109" s="70"/>
      <c r="N109" s="70"/>
      <c r="O109" s="70"/>
    </row>
    <row r="110" spans="1:15" s="50" customFormat="1" ht="18">
      <c r="A110" s="24" t="s">
        <v>105</v>
      </c>
      <c r="B110" s="2" t="s">
        <v>422</v>
      </c>
      <c r="C110" s="3" t="s">
        <v>421</v>
      </c>
      <c r="D110" s="4" t="s">
        <v>9</v>
      </c>
      <c r="E110" s="566">
        <v>8</v>
      </c>
      <c r="F110" s="566">
        <v>55.76</v>
      </c>
      <c r="G110" s="6">
        <f>ROUND(E110*F110,2)</f>
        <v>446.08</v>
      </c>
      <c r="H110" s="573">
        <f t="shared" si="4"/>
        <v>3.6888542259421145E-3</v>
      </c>
      <c r="I110" s="70"/>
      <c r="J110" s="70"/>
      <c r="K110" s="70"/>
      <c r="L110" s="70"/>
      <c r="M110" s="70"/>
      <c r="N110" s="70"/>
      <c r="O110" s="70"/>
    </row>
    <row r="111" spans="1:15" s="50" customFormat="1" ht="36">
      <c r="A111" s="2" t="s">
        <v>406</v>
      </c>
      <c r="B111" s="2">
        <v>95730</v>
      </c>
      <c r="C111" s="3" t="s">
        <v>420</v>
      </c>
      <c r="D111" s="4" t="s">
        <v>10</v>
      </c>
      <c r="E111" s="566">
        <v>12</v>
      </c>
      <c r="F111" s="566">
        <v>9.3699999999999992</v>
      </c>
      <c r="G111" s="6">
        <f>ROUND(E111*F111,2)</f>
        <v>112.44</v>
      </c>
      <c r="H111" s="573">
        <f t="shared" si="4"/>
        <v>9.2982148754692292E-4</v>
      </c>
      <c r="I111" s="70"/>
      <c r="J111" s="70"/>
      <c r="K111" s="70"/>
      <c r="L111" s="70"/>
      <c r="M111" s="70"/>
      <c r="N111" s="70"/>
      <c r="O111" s="70"/>
    </row>
    <row r="112" spans="1:15" s="50" customFormat="1" ht="36">
      <c r="A112" s="2" t="s">
        <v>579</v>
      </c>
      <c r="B112" s="2" t="str">
        <f>COMPOSIÇÕES!D36</f>
        <v xml:space="preserve">COMPOSIÇÃO 03  </v>
      </c>
      <c r="C112" s="3" t="str">
        <f>COMPOSIÇÕES!D37</f>
        <v>TOMADA TIPO CONDULETE DE SOBREPOR COMPLETA</v>
      </c>
      <c r="D112" s="4" t="s">
        <v>9</v>
      </c>
      <c r="E112" s="566">
        <v>4</v>
      </c>
      <c r="F112" s="566">
        <f>COMPOSIÇÕES!H46</f>
        <v>39.2074</v>
      </c>
      <c r="G112" s="6">
        <f>ROUND(E112*F112,2)</f>
        <v>156.83000000000001</v>
      </c>
      <c r="H112" s="573">
        <f t="shared" si="4"/>
        <v>1.2969041612591954E-3</v>
      </c>
      <c r="I112" s="70"/>
      <c r="J112" s="70"/>
      <c r="K112" s="70"/>
      <c r="L112" s="70"/>
      <c r="M112" s="70"/>
      <c r="N112" s="70"/>
      <c r="O112" s="70"/>
    </row>
    <row r="113" spans="1:15" s="50" customFormat="1" ht="18">
      <c r="A113" s="55">
        <v>30</v>
      </c>
      <c r="B113" s="56"/>
      <c r="C113" s="57" t="s">
        <v>441</v>
      </c>
      <c r="D113" s="58"/>
      <c r="E113" s="59"/>
      <c r="F113" s="60"/>
      <c r="G113" s="61">
        <f>SUM(G114)</f>
        <v>52.28</v>
      </c>
      <c r="H113" s="408">
        <f t="shared" si="4"/>
        <v>4.3232895205401218E-4</v>
      </c>
      <c r="I113" s="70"/>
      <c r="J113" s="70"/>
      <c r="K113" s="70"/>
      <c r="L113" s="70"/>
      <c r="M113" s="70"/>
      <c r="N113" s="70"/>
      <c r="O113" s="70"/>
    </row>
    <row r="114" spans="1:15" s="50" customFormat="1" ht="36">
      <c r="A114" s="24" t="s">
        <v>533</v>
      </c>
      <c r="B114" s="2" t="s">
        <v>442</v>
      </c>
      <c r="C114" s="3" t="s">
        <v>443</v>
      </c>
      <c r="D114" s="4" t="s">
        <v>9</v>
      </c>
      <c r="E114" s="566">
        <v>1</v>
      </c>
      <c r="F114" s="566">
        <v>52.28</v>
      </c>
      <c r="G114" s="6">
        <f>ROUND(E114*F114,2)</f>
        <v>52.28</v>
      </c>
      <c r="H114" s="573">
        <f t="shared" si="4"/>
        <v>4.3232895205401218E-4</v>
      </c>
      <c r="I114" s="70"/>
      <c r="J114" s="70"/>
      <c r="K114" s="70"/>
      <c r="L114" s="70"/>
      <c r="M114" s="70"/>
      <c r="N114" s="70"/>
      <c r="O114" s="70"/>
    </row>
    <row r="115" spans="1:15" s="50" customFormat="1" ht="18">
      <c r="A115" s="55">
        <v>31</v>
      </c>
      <c r="B115" s="56"/>
      <c r="C115" s="57" t="s">
        <v>448</v>
      </c>
      <c r="D115" s="58"/>
      <c r="E115" s="59"/>
      <c r="F115" s="60"/>
      <c r="G115" s="61">
        <f>SUM(G116)</f>
        <v>22.95</v>
      </c>
      <c r="H115" s="408">
        <f t="shared" si="4"/>
        <v>1.8978480202064995E-4</v>
      </c>
      <c r="I115" s="70"/>
      <c r="J115" s="70"/>
      <c r="K115" s="70"/>
      <c r="L115" s="70"/>
      <c r="M115" s="70"/>
      <c r="N115" s="70"/>
      <c r="O115" s="70"/>
    </row>
    <row r="116" spans="1:15" s="50" customFormat="1" ht="18">
      <c r="A116" s="24" t="s">
        <v>359</v>
      </c>
      <c r="B116" s="2" t="s">
        <v>470</v>
      </c>
      <c r="C116" s="3" t="s">
        <v>469</v>
      </c>
      <c r="D116" s="4" t="s">
        <v>0</v>
      </c>
      <c r="E116" s="566">
        <v>15</v>
      </c>
      <c r="F116" s="566">
        <v>1.53</v>
      </c>
      <c r="G116" s="6">
        <f>ROUND(E116*F116,2)</f>
        <v>22.95</v>
      </c>
      <c r="H116" s="573">
        <f t="shared" si="4"/>
        <v>1.8978480202064995E-4</v>
      </c>
      <c r="I116" s="70"/>
      <c r="J116" s="70"/>
      <c r="K116" s="70"/>
      <c r="L116" s="70"/>
      <c r="M116" s="70"/>
      <c r="N116" s="70"/>
      <c r="O116" s="70"/>
    </row>
    <row r="117" spans="1:15" s="50" customFormat="1" ht="18">
      <c r="A117" s="67"/>
      <c r="B117" s="68"/>
      <c r="C117" s="66" t="s">
        <v>80</v>
      </c>
      <c r="D117" s="68"/>
      <c r="E117" s="68"/>
      <c r="F117" s="68"/>
      <c r="G117" s="52">
        <f>SUM(G118,G121,G124,G126,G128)</f>
        <v>6055.0300000000007</v>
      </c>
      <c r="H117" s="408">
        <f t="shared" si="4"/>
        <v>5.0072011755080442E-2</v>
      </c>
      <c r="I117" s="70"/>
      <c r="J117" s="70"/>
      <c r="K117" s="70"/>
      <c r="L117" s="70"/>
      <c r="M117" s="70"/>
      <c r="N117" s="70"/>
      <c r="O117" s="70"/>
    </row>
    <row r="118" spans="1:15" s="50" customFormat="1" ht="18">
      <c r="A118" s="55">
        <v>32</v>
      </c>
      <c r="B118" s="56"/>
      <c r="C118" s="57" t="s">
        <v>3</v>
      </c>
      <c r="D118" s="58"/>
      <c r="E118" s="59"/>
      <c r="F118" s="60"/>
      <c r="G118" s="61">
        <f>SUM(G119:G120)</f>
        <v>100.78999999999999</v>
      </c>
      <c r="H118" s="408">
        <f t="shared" si="4"/>
        <v>8.3348192573687611E-4</v>
      </c>
      <c r="I118" s="70"/>
      <c r="J118" s="70"/>
      <c r="K118" s="70"/>
      <c r="L118" s="70"/>
      <c r="M118" s="70"/>
      <c r="N118" s="70"/>
      <c r="O118" s="70"/>
    </row>
    <row r="119" spans="1:15" s="50" customFormat="1" ht="36">
      <c r="A119" s="1" t="s">
        <v>360</v>
      </c>
      <c r="B119" s="521">
        <v>97640</v>
      </c>
      <c r="C119" s="522" t="s">
        <v>69</v>
      </c>
      <c r="D119" s="517" t="s">
        <v>0</v>
      </c>
      <c r="E119" s="518">
        <v>14.48</v>
      </c>
      <c r="F119" s="5">
        <v>1.85</v>
      </c>
      <c r="G119" s="6">
        <f>ROUND(E119*F119,2)</f>
        <v>26.79</v>
      </c>
      <c r="H119" s="408">
        <f t="shared" si="4"/>
        <v>2.215396447116868E-4</v>
      </c>
      <c r="I119" s="70"/>
      <c r="J119" s="70"/>
      <c r="K119" s="70"/>
      <c r="L119" s="70"/>
      <c r="M119" s="70"/>
      <c r="N119" s="70"/>
      <c r="O119" s="70"/>
    </row>
    <row r="120" spans="1:15" s="50" customFormat="1" ht="18">
      <c r="A120" s="1" t="s">
        <v>580</v>
      </c>
      <c r="B120" s="521" t="s">
        <v>71</v>
      </c>
      <c r="C120" s="522" t="s">
        <v>70</v>
      </c>
      <c r="D120" s="517" t="s">
        <v>0</v>
      </c>
      <c r="E120" s="518">
        <f>(2.38*2.45)</f>
        <v>5.8310000000000004</v>
      </c>
      <c r="F120" s="5">
        <v>12.69</v>
      </c>
      <c r="G120" s="6">
        <f>ROUND(E120*F120,2)</f>
        <v>74</v>
      </c>
      <c r="H120" s="408">
        <f t="shared" si="4"/>
        <v>6.1194228102518942E-4</v>
      </c>
      <c r="I120" s="70"/>
      <c r="J120" s="70"/>
      <c r="K120" s="70"/>
      <c r="L120" s="70"/>
      <c r="M120" s="70"/>
      <c r="N120" s="70"/>
      <c r="O120" s="70"/>
    </row>
    <row r="121" spans="1:15" s="50" customFormat="1" ht="18" customHeight="1">
      <c r="A121" s="55">
        <v>33</v>
      </c>
      <c r="B121" s="56"/>
      <c r="C121" s="57" t="s">
        <v>81</v>
      </c>
      <c r="D121" s="58"/>
      <c r="E121" s="59"/>
      <c r="F121" s="60"/>
      <c r="G121" s="61">
        <f>SUM(G122:G123)</f>
        <v>4130.8</v>
      </c>
      <c r="H121" s="408">
        <f t="shared" si="4"/>
        <v>3.415961046566017E-2</v>
      </c>
      <c r="I121" s="70"/>
      <c r="J121" s="70"/>
      <c r="K121" s="70"/>
      <c r="L121" s="70"/>
      <c r="M121" s="70"/>
      <c r="N121" s="70"/>
      <c r="O121" s="70"/>
    </row>
    <row r="122" spans="1:15" s="50" customFormat="1" ht="36">
      <c r="A122" s="1" t="s">
        <v>361</v>
      </c>
      <c r="B122" s="2" t="s">
        <v>431</v>
      </c>
      <c r="C122" s="3" t="s">
        <v>74</v>
      </c>
      <c r="D122" s="4" t="s">
        <v>0</v>
      </c>
      <c r="E122" s="5">
        <f>(2.38*2.6)-(0.9*2.1)</f>
        <v>4.298</v>
      </c>
      <c r="F122" s="5">
        <v>272.83999999999997</v>
      </c>
      <c r="G122" s="6">
        <f>ROUND(E122*F122,2)</f>
        <v>1172.67</v>
      </c>
      <c r="H122" s="408">
        <f t="shared" si="4"/>
        <v>9.6973831714839039E-3</v>
      </c>
      <c r="I122" s="70"/>
      <c r="J122" s="70"/>
      <c r="K122" s="70"/>
      <c r="L122" s="70"/>
      <c r="M122" s="70"/>
      <c r="N122" s="70"/>
      <c r="O122" s="70"/>
    </row>
    <row r="123" spans="1:15" s="50" customFormat="1" ht="54">
      <c r="A123" s="1" t="s">
        <v>362</v>
      </c>
      <c r="B123" s="2" t="s">
        <v>431</v>
      </c>
      <c r="C123" s="3" t="s">
        <v>243</v>
      </c>
      <c r="D123" s="4" t="s">
        <v>0</v>
      </c>
      <c r="E123" s="5">
        <f>4.17*2.6</f>
        <v>10.842000000000001</v>
      </c>
      <c r="F123" s="5">
        <v>272.83999999999997</v>
      </c>
      <c r="G123" s="6">
        <f>ROUND(E123*F123,2)</f>
        <v>2958.13</v>
      </c>
      <c r="H123" s="408">
        <f t="shared" si="4"/>
        <v>2.4462227294176263E-2</v>
      </c>
      <c r="I123" s="70"/>
      <c r="J123" s="70"/>
      <c r="K123" s="70"/>
      <c r="L123" s="70"/>
      <c r="M123" s="70"/>
      <c r="N123" s="70"/>
      <c r="O123" s="70"/>
    </row>
    <row r="124" spans="1:15" s="50" customFormat="1" ht="18">
      <c r="A124" s="55">
        <v>34</v>
      </c>
      <c r="B124" s="56"/>
      <c r="C124" s="57" t="s">
        <v>2</v>
      </c>
      <c r="D124" s="58"/>
      <c r="E124" s="59"/>
      <c r="F124" s="60"/>
      <c r="G124" s="61">
        <f>SUM(G125)</f>
        <v>1400.36</v>
      </c>
      <c r="H124" s="408">
        <f t="shared" si="4"/>
        <v>1.1580263414276136E-2</v>
      </c>
      <c r="I124" s="70"/>
      <c r="J124" s="70"/>
      <c r="K124" s="70"/>
      <c r="L124" s="70"/>
      <c r="M124" s="70"/>
      <c r="N124" s="70"/>
      <c r="O124" s="70"/>
    </row>
    <row r="125" spans="1:15" s="50" customFormat="1" ht="36">
      <c r="A125" s="1" t="s">
        <v>363</v>
      </c>
      <c r="B125" s="2" t="s">
        <v>431</v>
      </c>
      <c r="C125" s="3" t="s">
        <v>477</v>
      </c>
      <c r="D125" s="4" t="s">
        <v>0</v>
      </c>
      <c r="E125" s="5">
        <v>14.48</v>
      </c>
      <c r="F125" s="5">
        <v>96.71</v>
      </c>
      <c r="G125" s="6">
        <f>ROUND(E125*F125,2)</f>
        <v>1400.36</v>
      </c>
      <c r="H125" s="573">
        <f t="shared" si="4"/>
        <v>1.1580263414276136E-2</v>
      </c>
      <c r="I125" s="70"/>
      <c r="J125" s="70"/>
      <c r="K125" s="70"/>
      <c r="L125" s="70"/>
      <c r="M125" s="70"/>
      <c r="N125" s="70"/>
      <c r="O125" s="70"/>
    </row>
    <row r="126" spans="1:15" s="50" customFormat="1" ht="18">
      <c r="A126" s="55">
        <v>35</v>
      </c>
      <c r="B126" s="56"/>
      <c r="C126" s="57" t="s">
        <v>84</v>
      </c>
      <c r="D126" s="58"/>
      <c r="E126" s="59"/>
      <c r="F126" s="60"/>
      <c r="G126" s="61">
        <f>SUM(G127:G127)</f>
        <v>311.56</v>
      </c>
      <c r="H126" s="408">
        <f t="shared" si="4"/>
        <v>2.5764423929217298E-3</v>
      </c>
      <c r="I126" s="70"/>
      <c r="J126" s="70"/>
      <c r="K126" s="70"/>
      <c r="L126" s="70"/>
      <c r="M126" s="70"/>
      <c r="N126" s="70"/>
      <c r="O126" s="70"/>
    </row>
    <row r="127" spans="1:15" s="50" customFormat="1" ht="18">
      <c r="A127" s="7" t="s">
        <v>364</v>
      </c>
      <c r="B127" s="515" t="s">
        <v>73</v>
      </c>
      <c r="C127" s="8" t="s">
        <v>72</v>
      </c>
      <c r="D127" s="4" t="s">
        <v>9</v>
      </c>
      <c r="E127" s="5">
        <v>1</v>
      </c>
      <c r="F127" s="5">
        <v>311.56</v>
      </c>
      <c r="G127" s="6">
        <f>ROUND(E127*F127,2)</f>
        <v>311.56</v>
      </c>
      <c r="H127" s="408">
        <f t="shared" si="4"/>
        <v>2.5764423929217298E-3</v>
      </c>
      <c r="I127" s="70"/>
      <c r="J127" s="70"/>
      <c r="K127" s="70"/>
      <c r="L127" s="70"/>
      <c r="M127" s="70"/>
      <c r="N127" s="70"/>
      <c r="O127" s="70"/>
    </row>
    <row r="128" spans="1:15" s="50" customFormat="1" ht="18">
      <c r="A128" s="55">
        <v>36</v>
      </c>
      <c r="B128" s="56"/>
      <c r="C128" s="57" t="s">
        <v>259</v>
      </c>
      <c r="D128" s="58"/>
      <c r="E128" s="59"/>
      <c r="F128" s="60"/>
      <c r="G128" s="61">
        <f>SUM(G129)</f>
        <v>111.52</v>
      </c>
      <c r="H128" s="408">
        <f t="shared" si="4"/>
        <v>9.2221355648552863E-4</v>
      </c>
      <c r="I128" s="70"/>
      <c r="J128" s="70"/>
      <c r="K128" s="70"/>
      <c r="L128" s="70"/>
      <c r="M128" s="70"/>
      <c r="N128" s="70"/>
      <c r="O128" s="70"/>
    </row>
    <row r="129" spans="1:15" s="50" customFormat="1" ht="18">
      <c r="A129" s="24" t="s">
        <v>365</v>
      </c>
      <c r="B129" s="2" t="s">
        <v>422</v>
      </c>
      <c r="C129" s="3" t="s">
        <v>421</v>
      </c>
      <c r="D129" s="4" t="s">
        <v>9</v>
      </c>
      <c r="E129" s="566">
        <v>2</v>
      </c>
      <c r="F129" s="566">
        <v>55.76</v>
      </c>
      <c r="G129" s="6">
        <f>ROUND(E129*F129,2)</f>
        <v>111.52</v>
      </c>
      <c r="H129" s="573">
        <f t="shared" si="4"/>
        <v>9.2221355648552863E-4</v>
      </c>
      <c r="I129" s="70"/>
      <c r="J129" s="70"/>
      <c r="K129" s="70"/>
      <c r="L129" s="70"/>
      <c r="M129" s="70"/>
      <c r="N129" s="70"/>
      <c r="O129" s="70"/>
    </row>
    <row r="130" spans="1:15" s="50" customFormat="1" ht="18">
      <c r="A130" s="67"/>
      <c r="B130" s="68"/>
      <c r="C130" s="66" t="s">
        <v>83</v>
      </c>
      <c r="D130" s="68"/>
      <c r="E130" s="68"/>
      <c r="F130" s="68"/>
      <c r="G130" s="52">
        <f>SUM(G139,G136,G134,G131)</f>
        <v>4777.4400000000005</v>
      </c>
      <c r="H130" s="408">
        <f t="shared" si="4"/>
        <v>3.9506993662986233E-2</v>
      </c>
      <c r="I130" s="70"/>
      <c r="J130" s="70"/>
      <c r="K130" s="70"/>
      <c r="L130" s="70"/>
      <c r="M130" s="70"/>
      <c r="N130" s="70"/>
      <c r="O130" s="70"/>
    </row>
    <row r="131" spans="1:15" s="50" customFormat="1" ht="18">
      <c r="A131" s="55">
        <v>37</v>
      </c>
      <c r="B131" s="56"/>
      <c r="C131" s="57" t="s">
        <v>3</v>
      </c>
      <c r="D131" s="58"/>
      <c r="E131" s="59"/>
      <c r="F131" s="60"/>
      <c r="G131" s="61">
        <f>SUM(G132:G133)</f>
        <v>160.18</v>
      </c>
      <c r="H131" s="408">
        <f t="shared" si="4"/>
        <v>1.3246069537110113E-3</v>
      </c>
      <c r="I131" s="70"/>
      <c r="J131" s="70"/>
      <c r="K131" s="70"/>
      <c r="L131" s="70"/>
      <c r="M131" s="70"/>
      <c r="N131" s="70"/>
      <c r="O131" s="70"/>
    </row>
    <row r="132" spans="1:15" s="50" customFormat="1" ht="36">
      <c r="A132" s="1" t="s">
        <v>366</v>
      </c>
      <c r="B132" s="521">
        <v>97640</v>
      </c>
      <c r="C132" s="3" t="s">
        <v>69</v>
      </c>
      <c r="D132" s="4" t="s">
        <v>0</v>
      </c>
      <c r="E132" s="5">
        <f>19.36</f>
        <v>19.36</v>
      </c>
      <c r="F132" s="5">
        <v>1.85</v>
      </c>
      <c r="G132" s="6">
        <f>ROUND(E132*F132,2)</f>
        <v>35.82</v>
      </c>
      <c r="H132" s="408">
        <f t="shared" si="4"/>
        <v>2.9621314197732815E-4</v>
      </c>
      <c r="I132" s="70"/>
      <c r="J132" s="70"/>
      <c r="K132" s="70"/>
      <c r="L132" s="70"/>
      <c r="M132" s="70"/>
      <c r="N132" s="70"/>
      <c r="O132" s="70"/>
    </row>
    <row r="133" spans="1:15" s="50" customFormat="1" ht="18">
      <c r="A133" s="1" t="s">
        <v>581</v>
      </c>
      <c r="B133" s="521" t="s">
        <v>71</v>
      </c>
      <c r="C133" s="3" t="s">
        <v>70</v>
      </c>
      <c r="D133" s="4" t="s">
        <v>0</v>
      </c>
      <c r="E133" s="5">
        <f>4*2.45</f>
        <v>9.8000000000000007</v>
      </c>
      <c r="F133" s="5">
        <v>12.69</v>
      </c>
      <c r="G133" s="6">
        <f>ROUND(E133*F133,2)</f>
        <v>124.36</v>
      </c>
      <c r="H133" s="408">
        <f t="shared" si="4"/>
        <v>1.0283938117336832E-3</v>
      </c>
      <c r="I133" s="70"/>
      <c r="J133" s="70"/>
      <c r="K133" s="70"/>
      <c r="L133" s="70"/>
      <c r="M133" s="70"/>
      <c r="N133" s="70"/>
      <c r="O133" s="70"/>
    </row>
    <row r="134" spans="1:15" s="50" customFormat="1" ht="18">
      <c r="A134" s="55">
        <v>38</v>
      </c>
      <c r="B134" s="56"/>
      <c r="C134" s="57" t="s">
        <v>2</v>
      </c>
      <c r="D134" s="58"/>
      <c r="E134" s="59"/>
      <c r="F134" s="60"/>
      <c r="G134" s="61">
        <f>SUM(G135)</f>
        <v>1872.31</v>
      </c>
      <c r="H134" s="408">
        <f t="shared" si="4"/>
        <v>1.5483049353868544E-2</v>
      </c>
      <c r="I134" s="70"/>
      <c r="J134" s="70"/>
      <c r="K134" s="70"/>
      <c r="L134" s="70"/>
      <c r="M134" s="70"/>
      <c r="N134" s="70"/>
      <c r="O134" s="70"/>
    </row>
    <row r="135" spans="1:15" s="50" customFormat="1" ht="36">
      <c r="A135" s="1" t="s">
        <v>367</v>
      </c>
      <c r="B135" s="2" t="s">
        <v>431</v>
      </c>
      <c r="C135" s="3" t="s">
        <v>477</v>
      </c>
      <c r="D135" s="4" t="s">
        <v>0</v>
      </c>
      <c r="E135" s="5">
        <v>19.36</v>
      </c>
      <c r="F135" s="5">
        <v>96.71</v>
      </c>
      <c r="G135" s="6">
        <f>ROUND(E135*F135,2)</f>
        <v>1872.31</v>
      </c>
      <c r="H135" s="573">
        <f t="shared" si="4"/>
        <v>1.5483049353868544E-2</v>
      </c>
      <c r="I135" s="70"/>
      <c r="J135" s="70"/>
      <c r="K135" s="70"/>
      <c r="L135" s="70"/>
      <c r="M135" s="70"/>
      <c r="N135" s="70"/>
      <c r="O135" s="70"/>
    </row>
    <row r="136" spans="1:15" s="50" customFormat="1" ht="18">
      <c r="A136" s="55">
        <v>39</v>
      </c>
      <c r="B136" s="56"/>
      <c r="C136" s="57" t="s">
        <v>4</v>
      </c>
      <c r="D136" s="58"/>
      <c r="E136" s="59"/>
      <c r="F136" s="60"/>
      <c r="G136" s="61">
        <f>SUM(G137:G138)</f>
        <v>2633.43</v>
      </c>
      <c r="H136" s="408">
        <f t="shared" si="4"/>
        <v>2.177712379892114E-2</v>
      </c>
      <c r="I136" s="70"/>
      <c r="J136" s="70"/>
      <c r="K136" s="70"/>
      <c r="L136" s="70"/>
      <c r="M136" s="70"/>
      <c r="N136" s="70"/>
      <c r="O136" s="70"/>
    </row>
    <row r="137" spans="1:15" s="50" customFormat="1" ht="36">
      <c r="A137" s="7" t="s">
        <v>368</v>
      </c>
      <c r="B137" s="62" t="s">
        <v>431</v>
      </c>
      <c r="C137" s="3" t="s">
        <v>74</v>
      </c>
      <c r="D137" s="4" t="s">
        <v>0</v>
      </c>
      <c r="E137" s="5">
        <f>(4*2.6)-(0.9*2.1)</f>
        <v>8.51</v>
      </c>
      <c r="F137" s="5">
        <v>272.83999999999997</v>
      </c>
      <c r="G137" s="6">
        <f>ROUND(E137*F137,2)</f>
        <v>2321.87</v>
      </c>
      <c r="H137" s="408">
        <f t="shared" si="4"/>
        <v>1.9200681405999412E-2</v>
      </c>
      <c r="I137" s="70"/>
      <c r="J137" s="70"/>
      <c r="K137" s="70"/>
      <c r="L137" s="70"/>
      <c r="M137" s="70"/>
      <c r="N137" s="70"/>
      <c r="O137" s="70"/>
    </row>
    <row r="138" spans="1:15" s="50" customFormat="1" ht="22.5" customHeight="1">
      <c r="A138" s="7" t="s">
        <v>582</v>
      </c>
      <c r="B138" s="515" t="s">
        <v>73</v>
      </c>
      <c r="C138" s="516" t="s">
        <v>72</v>
      </c>
      <c r="D138" s="517" t="s">
        <v>9</v>
      </c>
      <c r="E138" s="518">
        <v>1</v>
      </c>
      <c r="F138" s="5">
        <v>311.56</v>
      </c>
      <c r="G138" s="6">
        <f>ROUND(E138*F138,2)</f>
        <v>311.56</v>
      </c>
      <c r="H138" s="408">
        <f t="shared" ref="H138:H201" si="5">G138/$G$269</f>
        <v>2.5764423929217298E-3</v>
      </c>
      <c r="I138" s="70"/>
      <c r="J138" s="70"/>
      <c r="K138" s="70"/>
      <c r="L138" s="70"/>
      <c r="M138" s="70"/>
      <c r="N138" s="70"/>
      <c r="O138" s="70"/>
    </row>
    <row r="139" spans="1:15" ht="18" customHeight="1">
      <c r="A139" s="55">
        <v>40</v>
      </c>
      <c r="B139" s="56"/>
      <c r="C139" s="57" t="s">
        <v>259</v>
      </c>
      <c r="D139" s="58"/>
      <c r="E139" s="59"/>
      <c r="F139" s="60"/>
      <c r="G139" s="61">
        <f>SUM(G140)</f>
        <v>111.52</v>
      </c>
      <c r="H139" s="408">
        <f t="shared" si="5"/>
        <v>9.2221355648552863E-4</v>
      </c>
      <c r="I139" s="432"/>
      <c r="J139" s="432"/>
      <c r="K139" s="432"/>
      <c r="L139" s="432"/>
      <c r="M139" s="70"/>
      <c r="N139" s="432"/>
      <c r="O139" s="70"/>
    </row>
    <row r="140" spans="1:15" s="50" customFormat="1" ht="18">
      <c r="A140" s="24" t="s">
        <v>369</v>
      </c>
      <c r="B140" s="2" t="s">
        <v>422</v>
      </c>
      <c r="C140" s="3" t="s">
        <v>421</v>
      </c>
      <c r="D140" s="4" t="s">
        <v>9</v>
      </c>
      <c r="E140" s="566">
        <v>2</v>
      </c>
      <c r="F140" s="566">
        <v>55.76</v>
      </c>
      <c r="G140" s="6">
        <f>ROUND(E140*F140,2)</f>
        <v>111.52</v>
      </c>
      <c r="H140" s="573">
        <f t="shared" si="5"/>
        <v>9.2221355648552863E-4</v>
      </c>
      <c r="I140" s="70"/>
      <c r="M140" s="70"/>
      <c r="O140" s="70"/>
    </row>
    <row r="141" spans="1:15" s="50" customFormat="1" ht="18">
      <c r="A141" s="67"/>
      <c r="B141" s="68"/>
      <c r="C141" s="66" t="s">
        <v>85</v>
      </c>
      <c r="D141" s="68"/>
      <c r="E141" s="68"/>
      <c r="F141" s="68"/>
      <c r="G141" s="52">
        <f>SUM(G142,G145,G147,G149,G152)</f>
        <v>3630.82</v>
      </c>
      <c r="H141" s="408">
        <f t="shared" si="5"/>
        <v>3.0025030713403761E-2</v>
      </c>
      <c r="I141" s="432"/>
      <c r="J141" s="432"/>
      <c r="K141" s="432"/>
      <c r="L141" s="432"/>
      <c r="M141" s="70"/>
      <c r="N141" s="432"/>
      <c r="O141" s="70"/>
    </row>
    <row r="142" spans="1:15" s="50" customFormat="1" ht="18">
      <c r="A142" s="55">
        <v>41</v>
      </c>
      <c r="B142" s="56"/>
      <c r="C142" s="57" t="s">
        <v>3</v>
      </c>
      <c r="D142" s="58"/>
      <c r="E142" s="59"/>
      <c r="F142" s="60"/>
      <c r="G142" s="61">
        <f>SUM(G143:G144)</f>
        <v>130.44999999999999</v>
      </c>
      <c r="H142" s="408">
        <f t="shared" si="5"/>
        <v>1.0787550075639994E-3</v>
      </c>
      <c r="I142" s="432"/>
      <c r="J142" s="432"/>
      <c r="K142" s="432"/>
      <c r="L142" s="432"/>
      <c r="M142" s="70"/>
      <c r="N142" s="432"/>
      <c r="O142" s="70"/>
    </row>
    <row r="143" spans="1:15" s="50" customFormat="1" ht="18">
      <c r="A143" s="1" t="s">
        <v>370</v>
      </c>
      <c r="B143" s="521" t="s">
        <v>71</v>
      </c>
      <c r="C143" s="522" t="s">
        <v>70</v>
      </c>
      <c r="D143" s="517" t="s">
        <v>0</v>
      </c>
      <c r="E143" s="518">
        <f>3.23*2.6</f>
        <v>8.3979999999999997</v>
      </c>
      <c r="F143" s="5">
        <v>12.69</v>
      </c>
      <c r="G143" s="6">
        <f>ROUND(E143*F143,2)</f>
        <v>106.57</v>
      </c>
      <c r="H143" s="408">
        <f t="shared" si="5"/>
        <v>8.8127957957911387E-4</v>
      </c>
      <c r="I143" s="432"/>
      <c r="J143" s="432"/>
      <c r="K143" s="432"/>
      <c r="L143" s="432"/>
      <c r="M143" s="70"/>
      <c r="N143" s="432"/>
      <c r="O143" s="70"/>
    </row>
    <row r="144" spans="1:15" s="50" customFormat="1" ht="36">
      <c r="A144" s="1" t="s">
        <v>583</v>
      </c>
      <c r="B144" s="565">
        <v>97640</v>
      </c>
      <c r="C144" s="575" t="s">
        <v>69</v>
      </c>
      <c r="D144" s="576" t="s">
        <v>0</v>
      </c>
      <c r="E144" s="5">
        <v>12.91</v>
      </c>
      <c r="F144" s="5">
        <v>1.85</v>
      </c>
      <c r="G144" s="6">
        <f>ROUND(E144*F144,2)</f>
        <v>23.88</v>
      </c>
      <c r="H144" s="573">
        <f t="shared" si="5"/>
        <v>1.9747542798488542E-4</v>
      </c>
      <c r="M144" s="70"/>
      <c r="O144" s="70"/>
    </row>
    <row r="145" spans="1:15" s="50" customFormat="1" ht="38.25" customHeight="1">
      <c r="A145" s="55">
        <v>42</v>
      </c>
      <c r="B145" s="56"/>
      <c r="C145" s="57" t="s">
        <v>382</v>
      </c>
      <c r="D145" s="58"/>
      <c r="E145" s="59"/>
      <c r="F145" s="60"/>
      <c r="G145" s="61">
        <f>SUM(G146)</f>
        <v>53.12</v>
      </c>
      <c r="H145" s="408">
        <f t="shared" si="5"/>
        <v>4.3927532389267644E-4</v>
      </c>
      <c r="I145" s="432"/>
      <c r="J145" s="432"/>
      <c r="K145" s="432"/>
      <c r="L145" s="432"/>
      <c r="M145" s="70"/>
      <c r="N145" s="432"/>
      <c r="O145" s="70"/>
    </row>
    <row r="146" spans="1:15" s="50" customFormat="1" ht="54">
      <c r="A146" s="1" t="s">
        <v>371</v>
      </c>
      <c r="B146" s="2" t="s">
        <v>82</v>
      </c>
      <c r="C146" s="3" t="s">
        <v>246</v>
      </c>
      <c r="D146" s="4" t="s">
        <v>0</v>
      </c>
      <c r="E146" s="5">
        <v>2</v>
      </c>
      <c r="F146" s="5">
        <v>26.56</v>
      </c>
      <c r="G146" s="6">
        <f>ROUND(E146*F146,2)</f>
        <v>53.12</v>
      </c>
      <c r="H146" s="573">
        <f t="shared" si="5"/>
        <v>4.3927532389267644E-4</v>
      </c>
      <c r="I146" s="70"/>
      <c r="J146" s="583"/>
      <c r="M146" s="70"/>
      <c r="O146" s="70"/>
    </row>
    <row r="147" spans="1:15" s="50" customFormat="1" ht="34.5" customHeight="1">
      <c r="A147" s="65">
        <v>43</v>
      </c>
      <c r="B147" s="56"/>
      <c r="C147" s="57" t="s">
        <v>2</v>
      </c>
      <c r="D147" s="58"/>
      <c r="E147" s="59"/>
      <c r="F147" s="60"/>
      <c r="G147" s="61">
        <f>SUM(G148)</f>
        <v>1248.53</v>
      </c>
      <c r="H147" s="408">
        <f t="shared" si="5"/>
        <v>1.0324706704437563E-2</v>
      </c>
      <c r="I147" s="432"/>
      <c r="J147" s="432"/>
      <c r="K147" s="432"/>
      <c r="L147" s="432"/>
      <c r="M147" s="70"/>
      <c r="N147" s="432"/>
      <c r="O147" s="70"/>
    </row>
    <row r="148" spans="1:15" s="50" customFormat="1" ht="36">
      <c r="A148" s="1" t="s">
        <v>372</v>
      </c>
      <c r="B148" s="2" t="s">
        <v>431</v>
      </c>
      <c r="C148" s="3" t="s">
        <v>477</v>
      </c>
      <c r="D148" s="4" t="s">
        <v>0</v>
      </c>
      <c r="E148" s="5">
        <v>12.91</v>
      </c>
      <c r="F148" s="5">
        <v>96.71</v>
      </c>
      <c r="G148" s="6">
        <f>ROUND(E148*F148,2)</f>
        <v>1248.53</v>
      </c>
      <c r="H148" s="573">
        <f t="shared" si="5"/>
        <v>1.0324706704437563E-2</v>
      </c>
      <c r="M148" s="70"/>
      <c r="O148" s="70"/>
    </row>
    <row r="149" spans="1:15" s="50" customFormat="1" ht="18">
      <c r="A149" s="65">
        <v>44</v>
      </c>
      <c r="B149" s="56"/>
      <c r="C149" s="57" t="s">
        <v>4</v>
      </c>
      <c r="D149" s="58"/>
      <c r="E149" s="59"/>
      <c r="F149" s="60"/>
      <c r="G149" s="61">
        <f>SUM(G150:G151)</f>
        <v>2087.2000000000003</v>
      </c>
      <c r="H149" s="408">
        <f t="shared" si="5"/>
        <v>1.7260080121023993E-2</v>
      </c>
      <c r="I149" s="432"/>
      <c r="J149" s="432"/>
      <c r="K149" s="432"/>
      <c r="L149" s="432"/>
      <c r="M149" s="70"/>
      <c r="N149" s="432"/>
      <c r="O149" s="70"/>
    </row>
    <row r="150" spans="1:15" s="50" customFormat="1" ht="41.25" customHeight="1">
      <c r="A150" s="1" t="s">
        <v>373</v>
      </c>
      <c r="B150" s="62" t="s">
        <v>431</v>
      </c>
      <c r="C150" s="3" t="s">
        <v>74</v>
      </c>
      <c r="D150" s="4" t="s">
        <v>0</v>
      </c>
      <c r="E150" s="5">
        <f>(3.23*2.6)-(0.9*2.1)</f>
        <v>6.5079999999999991</v>
      </c>
      <c r="F150" s="5">
        <v>272.83999999999997</v>
      </c>
      <c r="G150" s="6">
        <f>ROUND(E150*F150,2)</f>
        <v>1775.64</v>
      </c>
      <c r="H150" s="573">
        <f t="shared" si="5"/>
        <v>1.4683637728102262E-2</v>
      </c>
      <c r="I150" s="70"/>
      <c r="M150" s="70"/>
      <c r="O150" s="70"/>
    </row>
    <row r="151" spans="1:15" s="50" customFormat="1" ht="41.25" customHeight="1">
      <c r="A151" s="1" t="s">
        <v>584</v>
      </c>
      <c r="B151" s="515" t="s">
        <v>73</v>
      </c>
      <c r="C151" s="516" t="s">
        <v>72</v>
      </c>
      <c r="D151" s="517" t="s">
        <v>9</v>
      </c>
      <c r="E151" s="518">
        <v>1</v>
      </c>
      <c r="F151" s="5">
        <v>311.56</v>
      </c>
      <c r="G151" s="6">
        <f>ROUND(E151*F151,2)</f>
        <v>311.56</v>
      </c>
      <c r="H151" s="408">
        <f t="shared" si="5"/>
        <v>2.5764423929217298E-3</v>
      </c>
      <c r="I151" s="432"/>
      <c r="J151" s="432"/>
      <c r="K151" s="432"/>
      <c r="L151" s="432"/>
      <c r="M151" s="70"/>
      <c r="N151" s="432"/>
      <c r="O151" s="70"/>
    </row>
    <row r="152" spans="1:15" s="50" customFormat="1" ht="18">
      <c r="A152" s="55">
        <v>45</v>
      </c>
      <c r="B152" s="56"/>
      <c r="C152" s="57" t="s">
        <v>259</v>
      </c>
      <c r="D152" s="58"/>
      <c r="E152" s="59"/>
      <c r="F152" s="60"/>
      <c r="G152" s="61">
        <f>SUM(G153)</f>
        <v>111.52</v>
      </c>
      <c r="H152" s="408">
        <f t="shared" si="5"/>
        <v>9.2221355648552863E-4</v>
      </c>
      <c r="I152" s="432"/>
      <c r="J152" s="432"/>
      <c r="K152" s="432"/>
      <c r="L152" s="432"/>
      <c r="M152" s="70"/>
      <c r="N152" s="432"/>
      <c r="O152" s="70"/>
    </row>
    <row r="153" spans="1:15" s="50" customFormat="1" ht="18">
      <c r="A153" s="24" t="s">
        <v>374</v>
      </c>
      <c r="B153" s="2" t="s">
        <v>422</v>
      </c>
      <c r="C153" s="3" t="s">
        <v>421</v>
      </c>
      <c r="D153" s="4" t="s">
        <v>9</v>
      </c>
      <c r="E153" s="566">
        <v>2</v>
      </c>
      <c r="F153" s="566">
        <v>55.76</v>
      </c>
      <c r="G153" s="6">
        <f>ROUND(E153*F153,2)</f>
        <v>111.52</v>
      </c>
      <c r="H153" s="573">
        <f t="shared" si="5"/>
        <v>9.2221355648552863E-4</v>
      </c>
      <c r="M153" s="70"/>
      <c r="O153" s="70"/>
    </row>
    <row r="154" spans="1:15" s="50" customFormat="1" ht="18">
      <c r="A154" s="67"/>
      <c r="B154" s="68"/>
      <c r="C154" s="66" t="s">
        <v>424</v>
      </c>
      <c r="D154" s="68"/>
      <c r="E154" s="68"/>
      <c r="F154" s="68"/>
      <c r="G154" s="52">
        <f>SUM(G155,G157,G159)</f>
        <v>2653.3</v>
      </c>
      <c r="H154" s="408">
        <f t="shared" si="5"/>
        <v>2.1941438570866691E-2</v>
      </c>
      <c r="I154" s="432"/>
      <c r="J154" s="432"/>
      <c r="K154" s="432"/>
      <c r="L154" s="432"/>
      <c r="M154" s="70"/>
      <c r="N154" s="432"/>
      <c r="O154" s="70"/>
    </row>
    <row r="155" spans="1:15" s="50" customFormat="1" ht="18">
      <c r="A155" s="55">
        <v>46</v>
      </c>
      <c r="B155" s="56"/>
      <c r="C155" s="57" t="s">
        <v>3</v>
      </c>
      <c r="D155" s="58"/>
      <c r="E155" s="59"/>
      <c r="F155" s="60"/>
      <c r="G155" s="61">
        <f>SUM(G156:G156)</f>
        <v>45.57</v>
      </c>
      <c r="H155" s="408">
        <f t="shared" si="5"/>
        <v>3.7684067224753892E-4</v>
      </c>
      <c r="I155" s="432"/>
      <c r="J155" s="432"/>
      <c r="K155" s="432"/>
      <c r="L155" s="432"/>
      <c r="M155" s="70"/>
      <c r="N155" s="432"/>
      <c r="O155" s="70"/>
    </row>
    <row r="156" spans="1:15" s="50" customFormat="1" ht="39.75" customHeight="1">
      <c r="A156" s="409" t="s">
        <v>375</v>
      </c>
      <c r="B156" s="565">
        <v>97640</v>
      </c>
      <c r="C156" s="575" t="s">
        <v>69</v>
      </c>
      <c r="D156" s="576" t="s">
        <v>0</v>
      </c>
      <c r="E156" s="576">
        <v>24.63</v>
      </c>
      <c r="F156" s="576">
        <v>1.85</v>
      </c>
      <c r="G156" s="577">
        <f>ROUND(E156*F156,2)</f>
        <v>45.57</v>
      </c>
      <c r="H156" s="573">
        <f t="shared" si="5"/>
        <v>3.7684067224753892E-4</v>
      </c>
      <c r="M156" s="70"/>
      <c r="O156" s="70"/>
    </row>
    <row r="157" spans="1:15" s="50" customFormat="1" ht="18">
      <c r="A157" s="55">
        <v>47</v>
      </c>
      <c r="B157" s="56"/>
      <c r="C157" s="57" t="s">
        <v>2</v>
      </c>
      <c r="D157" s="58"/>
      <c r="E157" s="59"/>
      <c r="F157" s="60"/>
      <c r="G157" s="61">
        <f>SUM(G158)</f>
        <v>2381.9699999999998</v>
      </c>
      <c r="H157" s="408">
        <f t="shared" si="5"/>
        <v>1.9697677772075272E-2</v>
      </c>
      <c r="I157" s="432"/>
      <c r="J157" s="432"/>
      <c r="K157" s="432"/>
      <c r="L157" s="432"/>
      <c r="M157" s="70"/>
      <c r="N157" s="432"/>
      <c r="O157" s="70"/>
    </row>
    <row r="158" spans="1:15" s="50" customFormat="1" ht="36">
      <c r="A158" s="24" t="s">
        <v>376</v>
      </c>
      <c r="B158" s="2" t="s">
        <v>431</v>
      </c>
      <c r="C158" s="3" t="s">
        <v>477</v>
      </c>
      <c r="D158" s="4" t="s">
        <v>0</v>
      </c>
      <c r="E158" s="566">
        <v>24.63</v>
      </c>
      <c r="F158" s="566">
        <v>96.71</v>
      </c>
      <c r="G158" s="63">
        <f>ROUND(E158*F158,2)</f>
        <v>2381.9699999999998</v>
      </c>
      <c r="H158" s="573">
        <f t="shared" si="5"/>
        <v>1.9697677772075272E-2</v>
      </c>
      <c r="M158" s="70"/>
      <c r="O158" s="70"/>
    </row>
    <row r="159" spans="1:15" s="50" customFormat="1" ht="18">
      <c r="A159" s="55">
        <v>48</v>
      </c>
      <c r="B159" s="56"/>
      <c r="C159" s="57" t="s">
        <v>259</v>
      </c>
      <c r="D159" s="58"/>
      <c r="E159" s="59"/>
      <c r="F159" s="60"/>
      <c r="G159" s="61">
        <f>SUM(G160:G162)</f>
        <v>225.76</v>
      </c>
      <c r="H159" s="408">
        <f t="shared" si="5"/>
        <v>1.866920126543875E-3</v>
      </c>
      <c r="I159" s="432"/>
      <c r="J159" s="432"/>
      <c r="K159" s="432"/>
      <c r="L159" s="432"/>
      <c r="M159" s="70"/>
      <c r="N159" s="432"/>
      <c r="O159" s="70"/>
    </row>
    <row r="160" spans="1:15" s="50" customFormat="1" ht="18">
      <c r="A160" s="24" t="s">
        <v>377</v>
      </c>
      <c r="B160" s="2" t="s">
        <v>422</v>
      </c>
      <c r="C160" s="3" t="s">
        <v>421</v>
      </c>
      <c r="D160" s="4" t="s">
        <v>9</v>
      </c>
      <c r="E160" s="566">
        <v>2</v>
      </c>
      <c r="F160" s="566">
        <v>55.76</v>
      </c>
      <c r="G160" s="6">
        <f>ROUND(E160*F160,2)</f>
        <v>111.52</v>
      </c>
      <c r="H160" s="573">
        <f t="shared" si="5"/>
        <v>9.2221355648552863E-4</v>
      </c>
      <c r="I160" s="70"/>
      <c r="M160" s="70"/>
      <c r="O160" s="70"/>
    </row>
    <row r="161" spans="1:15" s="50" customFormat="1" ht="41.25" customHeight="1">
      <c r="A161" s="24" t="s">
        <v>585</v>
      </c>
      <c r="B161" s="2">
        <v>95730</v>
      </c>
      <c r="C161" s="3" t="s">
        <v>420</v>
      </c>
      <c r="D161" s="4" t="s">
        <v>10</v>
      </c>
      <c r="E161" s="566">
        <v>12</v>
      </c>
      <c r="F161" s="566">
        <v>9.3699999999999992</v>
      </c>
      <c r="G161" s="6">
        <f>ROUND(E161*F161,2)</f>
        <v>112.44</v>
      </c>
      <c r="H161" s="573">
        <f t="shared" si="5"/>
        <v>9.2982148754692292E-4</v>
      </c>
      <c r="M161" s="70"/>
      <c r="O161" s="70"/>
    </row>
    <row r="162" spans="1:15" s="50" customFormat="1" ht="36.75" thickBot="1">
      <c r="A162" s="24" t="s">
        <v>586</v>
      </c>
      <c r="B162" s="578">
        <v>97661</v>
      </c>
      <c r="C162" s="579" t="s">
        <v>423</v>
      </c>
      <c r="D162" s="580" t="s">
        <v>10</v>
      </c>
      <c r="E162" s="581">
        <v>3</v>
      </c>
      <c r="F162" s="581">
        <v>0.6</v>
      </c>
      <c r="G162" s="582">
        <f>ROUND(E162*F162,2)</f>
        <v>1.8</v>
      </c>
      <c r="H162" s="573">
        <f t="shared" si="5"/>
        <v>1.4885082511423526E-5</v>
      </c>
      <c r="M162" s="70"/>
      <c r="O162" s="70"/>
    </row>
    <row r="163" spans="1:15" ht="18.75" thickBot="1">
      <c r="A163" s="531"/>
      <c r="B163" s="531"/>
      <c r="C163" s="532"/>
      <c r="D163" s="533"/>
      <c r="E163" s="534"/>
      <c r="F163" s="534"/>
      <c r="G163" s="535"/>
      <c r="H163" s="408">
        <f t="shared" si="5"/>
        <v>0</v>
      </c>
      <c r="I163" s="439"/>
      <c r="J163" s="432"/>
      <c r="K163" s="432"/>
      <c r="L163" s="432"/>
      <c r="M163" s="70"/>
      <c r="N163" s="432"/>
      <c r="O163" s="70"/>
    </row>
    <row r="164" spans="1:15" s="50" customFormat="1" ht="21" thickBot="1">
      <c r="A164" s="593" t="s">
        <v>358</v>
      </c>
      <c r="B164" s="594"/>
      <c r="C164" s="442"/>
      <c r="D164" s="419"/>
      <c r="E164" s="443"/>
      <c r="F164" s="443"/>
      <c r="G164" s="412">
        <f>SUM(G246,G237,G231,G214,G165)</f>
        <v>25425.62</v>
      </c>
      <c r="H164" s="408">
        <f t="shared" si="5"/>
        <v>0.21025691755783343</v>
      </c>
      <c r="I164" s="432"/>
      <c r="J164" s="432"/>
      <c r="K164" s="432"/>
      <c r="L164" s="432"/>
      <c r="M164" s="70"/>
      <c r="N164" s="432"/>
      <c r="O164" s="70"/>
    </row>
    <row r="165" spans="1:15" s="50" customFormat="1" ht="18">
      <c r="A165" s="413"/>
      <c r="B165" s="414"/>
      <c r="C165" s="415" t="s">
        <v>285</v>
      </c>
      <c r="D165" s="414"/>
      <c r="E165" s="414"/>
      <c r="F165" s="414"/>
      <c r="G165" s="416">
        <f>SUM(G166,G172,G176,G182,G185,G189,G192,G204,G210)</f>
        <v>17857.939999999999</v>
      </c>
      <c r="H165" s="408">
        <f t="shared" si="5"/>
        <v>0.14767606132447256</v>
      </c>
      <c r="I165" s="432"/>
      <c r="J165" s="432"/>
      <c r="K165" s="432"/>
      <c r="L165" s="432"/>
      <c r="M165" s="70"/>
      <c r="N165" s="432"/>
      <c r="O165" s="70"/>
    </row>
    <row r="166" spans="1:15" s="50" customFormat="1" ht="18">
      <c r="A166" s="51">
        <v>49</v>
      </c>
      <c r="B166" s="433"/>
      <c r="C166" s="434" t="s">
        <v>3</v>
      </c>
      <c r="D166" s="435"/>
      <c r="E166" s="436"/>
      <c r="F166" s="437"/>
      <c r="G166" s="438">
        <f>SUM(G167:G171)</f>
        <v>251.35999999999999</v>
      </c>
      <c r="H166" s="408">
        <f t="shared" si="5"/>
        <v>2.0786190778174542E-3</v>
      </c>
      <c r="I166" s="432"/>
      <c r="J166" s="432"/>
      <c r="K166" s="432"/>
      <c r="L166" s="432"/>
      <c r="M166" s="70"/>
      <c r="N166" s="432"/>
      <c r="O166" s="70"/>
    </row>
    <row r="167" spans="1:15" s="50" customFormat="1" ht="36">
      <c r="A167" s="1" t="s">
        <v>407</v>
      </c>
      <c r="B167" s="521" t="s">
        <v>7</v>
      </c>
      <c r="C167" s="522" t="s">
        <v>478</v>
      </c>
      <c r="D167" s="517" t="s">
        <v>0</v>
      </c>
      <c r="E167" s="518">
        <f>1.78*2.45</f>
        <v>4.3610000000000007</v>
      </c>
      <c r="F167" s="5">
        <v>14.26</v>
      </c>
      <c r="G167" s="6">
        <f>ROUND(E167*F167,2)</f>
        <v>62.19</v>
      </c>
      <c r="H167" s="408">
        <f t="shared" si="5"/>
        <v>5.1427960076968278E-4</v>
      </c>
      <c r="I167" s="432"/>
      <c r="J167" s="432"/>
      <c r="K167" s="432"/>
      <c r="L167" s="432"/>
      <c r="M167" s="70"/>
      <c r="N167" s="432"/>
      <c r="O167" s="70"/>
    </row>
    <row r="168" spans="1:15" s="50" customFormat="1" ht="59.25" customHeight="1">
      <c r="A168" s="1" t="s">
        <v>408</v>
      </c>
      <c r="B168" s="521">
        <v>97622</v>
      </c>
      <c r="C168" s="522" t="s">
        <v>286</v>
      </c>
      <c r="D168" s="517" t="s">
        <v>5</v>
      </c>
      <c r="E168" s="518">
        <f>2.8*2.45*0.15</f>
        <v>1.0289999999999999</v>
      </c>
      <c r="F168" s="5">
        <v>49.67</v>
      </c>
      <c r="G168" s="6">
        <f>ROUND(E168*F168,2)</f>
        <v>51.11</v>
      </c>
      <c r="H168" s="408">
        <f t="shared" si="5"/>
        <v>4.2265364842158687E-4</v>
      </c>
      <c r="I168" s="432"/>
      <c r="J168" s="432"/>
      <c r="K168" s="432"/>
      <c r="L168" s="432"/>
      <c r="M168" s="70"/>
      <c r="N168" s="432"/>
      <c r="O168" s="70"/>
    </row>
    <row r="169" spans="1:15" s="50" customFormat="1" ht="54">
      <c r="A169" s="1" t="s">
        <v>409</v>
      </c>
      <c r="B169" s="2">
        <v>97622</v>
      </c>
      <c r="C169" s="3" t="s">
        <v>287</v>
      </c>
      <c r="D169" s="4" t="s">
        <v>5</v>
      </c>
      <c r="E169" s="5">
        <f>(3.2*0.6+2.4*0.6)*(0.15)</f>
        <v>0.504</v>
      </c>
      <c r="F169" s="5">
        <v>49.67</v>
      </c>
      <c r="G169" s="6">
        <f>ROUND(E169*F169,2)</f>
        <v>25.03</v>
      </c>
      <c r="H169" s="573">
        <f t="shared" si="5"/>
        <v>2.0698534181162826E-4</v>
      </c>
      <c r="M169" s="70"/>
      <c r="O169" s="70"/>
    </row>
    <row r="170" spans="1:15" s="50" customFormat="1" ht="36">
      <c r="A170" s="1" t="s">
        <v>587</v>
      </c>
      <c r="B170" s="2" t="s">
        <v>288</v>
      </c>
      <c r="C170" s="3" t="s">
        <v>289</v>
      </c>
      <c r="D170" s="4" t="s">
        <v>5</v>
      </c>
      <c r="E170" s="5">
        <f>(1*0.06)+(0.18*0.06)+(0.29*0.06)+(0.29*0.06)+(0.5*0.06)</f>
        <v>0.1356</v>
      </c>
      <c r="F170" s="5">
        <v>207.17</v>
      </c>
      <c r="G170" s="6">
        <f>ROUND(E170*F170,2)</f>
        <v>28.09</v>
      </c>
      <c r="H170" s="573">
        <f t="shared" si="5"/>
        <v>2.3228998208104824E-4</v>
      </c>
      <c r="I170" s="70"/>
      <c r="M170" s="70"/>
      <c r="O170" s="70"/>
    </row>
    <row r="171" spans="1:15" s="50" customFormat="1" ht="36.75" customHeight="1">
      <c r="A171" s="1" t="s">
        <v>588</v>
      </c>
      <c r="B171" s="2" t="s">
        <v>288</v>
      </c>
      <c r="C171" s="3" t="s">
        <v>430</v>
      </c>
      <c r="D171" s="4" t="s">
        <v>5</v>
      </c>
      <c r="E171" s="5">
        <f>4.1*0.1</f>
        <v>0.41</v>
      </c>
      <c r="F171" s="5">
        <v>207.17</v>
      </c>
      <c r="G171" s="6">
        <f>ROUND(E171*F171,2)</f>
        <v>84.94</v>
      </c>
      <c r="H171" s="573">
        <f t="shared" si="5"/>
        <v>7.0241050473350791E-4</v>
      </c>
      <c r="M171" s="70"/>
      <c r="O171" s="70"/>
    </row>
    <row r="172" spans="1:15" s="50" customFormat="1" ht="18">
      <c r="A172" s="51">
        <v>50</v>
      </c>
      <c r="B172" s="433"/>
      <c r="C172" s="434" t="s">
        <v>399</v>
      </c>
      <c r="D172" s="435"/>
      <c r="E172" s="436"/>
      <c r="F172" s="437"/>
      <c r="G172" s="438">
        <f>SUM(G173:G175)</f>
        <v>1059.3899999999999</v>
      </c>
      <c r="H172" s="408">
        <f t="shared" si="5"/>
        <v>8.7606153120983153E-3</v>
      </c>
      <c r="I172" s="432"/>
      <c r="J172" s="432"/>
      <c r="K172" s="432"/>
      <c r="L172" s="432"/>
      <c r="M172" s="70"/>
      <c r="N172" s="432"/>
      <c r="O172" s="70"/>
    </row>
    <row r="173" spans="1:15" s="50" customFormat="1" ht="36">
      <c r="A173" s="1" t="s">
        <v>410</v>
      </c>
      <c r="B173" s="521" t="s">
        <v>11</v>
      </c>
      <c r="C173" s="522" t="s">
        <v>291</v>
      </c>
      <c r="D173" s="517" t="s">
        <v>0</v>
      </c>
      <c r="E173" s="518">
        <f>(3.2*0.25)+(2.4*0.25)</f>
        <v>1.4</v>
      </c>
      <c r="F173" s="5">
        <v>211.35</v>
      </c>
      <c r="G173" s="6">
        <f>ROUND(E173*F173,2)</f>
        <v>295.89</v>
      </c>
      <c r="H173" s="408">
        <f t="shared" si="5"/>
        <v>2.4468594801695036E-3</v>
      </c>
      <c r="I173" s="432"/>
      <c r="J173" s="432"/>
      <c r="K173" s="432"/>
      <c r="L173" s="432"/>
      <c r="M173" s="70"/>
      <c r="N173" s="432"/>
      <c r="O173" s="70"/>
    </row>
    <row r="174" spans="1:15" ht="22.5" customHeight="1">
      <c r="A174" s="1" t="s">
        <v>411</v>
      </c>
      <c r="B174" s="521">
        <v>93183</v>
      </c>
      <c r="C174" s="522" t="s">
        <v>292</v>
      </c>
      <c r="D174" s="517" t="s">
        <v>10</v>
      </c>
      <c r="E174" s="518">
        <f>3.2+2.4</f>
        <v>5.6</v>
      </c>
      <c r="F174" s="5">
        <v>70.569999999999993</v>
      </c>
      <c r="G174" s="6">
        <f>ROUND(E174*F174,2)</f>
        <v>395.19</v>
      </c>
      <c r="H174" s="408">
        <f t="shared" si="5"/>
        <v>3.2680198653830348E-3</v>
      </c>
      <c r="I174" s="432"/>
      <c r="J174" s="432"/>
      <c r="K174" s="432"/>
      <c r="L174" s="432"/>
      <c r="M174" s="70"/>
      <c r="N174" s="432"/>
      <c r="O174" s="70"/>
    </row>
    <row r="175" spans="1:15" ht="25.5" customHeight="1">
      <c r="A175" s="1" t="s">
        <v>412</v>
      </c>
      <c r="B175" s="521">
        <v>93195</v>
      </c>
      <c r="C175" s="522" t="s">
        <v>293</v>
      </c>
      <c r="D175" s="517" t="s">
        <v>10</v>
      </c>
      <c r="E175" s="518">
        <f>3.2+2.4</f>
        <v>5.6</v>
      </c>
      <c r="F175" s="5">
        <v>65.77</v>
      </c>
      <c r="G175" s="6">
        <f>ROUND(E175*F175,2)</f>
        <v>368.31</v>
      </c>
      <c r="H175" s="408">
        <f t="shared" si="5"/>
        <v>3.0457359665457769E-3</v>
      </c>
      <c r="I175" s="439"/>
      <c r="J175" s="432"/>
      <c r="K175" s="432"/>
      <c r="L175" s="432"/>
      <c r="M175" s="70"/>
      <c r="N175" s="432"/>
      <c r="O175" s="70"/>
    </row>
    <row r="176" spans="1:15" s="50" customFormat="1" ht="18">
      <c r="A176" s="51">
        <v>51</v>
      </c>
      <c r="B176" s="433"/>
      <c r="C176" s="434" t="s">
        <v>387</v>
      </c>
      <c r="D176" s="435"/>
      <c r="E176" s="436"/>
      <c r="F176" s="437"/>
      <c r="G176" s="438">
        <f>SUM(G177:G181)</f>
        <v>948.41999999999985</v>
      </c>
      <c r="H176" s="408">
        <f t="shared" si="5"/>
        <v>7.8429499752690549E-3</v>
      </c>
      <c r="I176" s="432"/>
      <c r="J176" s="432"/>
      <c r="K176" s="432"/>
      <c r="L176" s="432"/>
      <c r="M176" s="70"/>
      <c r="N176" s="432"/>
      <c r="O176" s="70"/>
    </row>
    <row r="177" spans="1:15" ht="82.5" customHeight="1">
      <c r="A177" s="1" t="s">
        <v>413</v>
      </c>
      <c r="B177" s="515">
        <v>87548</v>
      </c>
      <c r="C177" s="519" t="s">
        <v>290</v>
      </c>
      <c r="D177" s="517" t="s">
        <v>0</v>
      </c>
      <c r="E177" s="518">
        <f>(3.2*2+0.6*2+2.4*2+0.6*2+2.8*2+2.45*2)*(0.15)</f>
        <v>3.6150000000000002</v>
      </c>
      <c r="F177" s="5">
        <v>26.2</v>
      </c>
      <c r="G177" s="6">
        <f>ROUND(E177*F177,2)</f>
        <v>94.71</v>
      </c>
      <c r="H177" s="408">
        <f t="shared" si="5"/>
        <v>7.8320342480940109E-4</v>
      </c>
      <c r="I177" s="439"/>
      <c r="J177" s="432"/>
      <c r="K177" s="432"/>
      <c r="L177" s="432"/>
      <c r="M177" s="70"/>
      <c r="N177" s="432"/>
      <c r="O177" s="70"/>
    </row>
    <row r="178" spans="1:15" s="50" customFormat="1" ht="75.75" customHeight="1">
      <c r="A178" s="1" t="s">
        <v>414</v>
      </c>
      <c r="B178" s="570">
        <v>87548</v>
      </c>
      <c r="C178" s="574" t="s">
        <v>417</v>
      </c>
      <c r="D178" s="4" t="s">
        <v>0</v>
      </c>
      <c r="E178" s="5">
        <f>12.19*1</f>
        <v>12.19</v>
      </c>
      <c r="F178" s="5">
        <v>26.2</v>
      </c>
      <c r="G178" s="6">
        <f>ROUND(E178*F178,2)</f>
        <v>319.38</v>
      </c>
      <c r="H178" s="573">
        <f t="shared" si="5"/>
        <v>2.641109806943581E-3</v>
      </c>
      <c r="M178" s="70"/>
      <c r="O178" s="70"/>
    </row>
    <row r="179" spans="1:15" s="50" customFormat="1" ht="75.75" customHeight="1">
      <c r="A179" s="1" t="s">
        <v>415</v>
      </c>
      <c r="B179" s="570">
        <v>87548</v>
      </c>
      <c r="C179" s="574" t="s">
        <v>569</v>
      </c>
      <c r="D179" s="4" t="s">
        <v>0</v>
      </c>
      <c r="E179" s="5">
        <v>4</v>
      </c>
      <c r="F179" s="5">
        <v>26.2</v>
      </c>
      <c r="G179" s="6">
        <f>ROUND(E179*F179,2)</f>
        <v>104.8</v>
      </c>
      <c r="H179" s="573">
        <f t="shared" si="5"/>
        <v>8.6664258177621416E-4</v>
      </c>
      <c r="M179" s="70"/>
      <c r="O179" s="70"/>
    </row>
    <row r="180" spans="1:15" s="50" customFormat="1" ht="80.25" customHeight="1">
      <c r="A180" s="1" t="s">
        <v>589</v>
      </c>
      <c r="B180" s="570">
        <v>87250</v>
      </c>
      <c r="C180" s="8" t="s">
        <v>418</v>
      </c>
      <c r="D180" s="4" t="s">
        <v>0</v>
      </c>
      <c r="E180" s="5">
        <f>0.41*0.41*10</f>
        <v>1.6809999999999996</v>
      </c>
      <c r="F180" s="5">
        <v>55.14</v>
      </c>
      <c r="G180" s="6">
        <f>ROUND(E180*F180,2)</f>
        <v>92.69</v>
      </c>
      <c r="H180" s="573">
        <f t="shared" si="5"/>
        <v>7.6649905443547026E-4</v>
      </c>
      <c r="I180" s="70"/>
      <c r="M180" s="70"/>
      <c r="O180" s="70"/>
    </row>
    <row r="181" spans="1:15" s="50" customFormat="1" ht="92.25" customHeight="1">
      <c r="A181" s="1" t="s">
        <v>590</v>
      </c>
      <c r="B181" s="570">
        <v>87251</v>
      </c>
      <c r="C181" s="8" t="s">
        <v>419</v>
      </c>
      <c r="D181" s="4" t="s">
        <v>0</v>
      </c>
      <c r="E181" s="5">
        <v>6</v>
      </c>
      <c r="F181" s="5">
        <v>56.14</v>
      </c>
      <c r="G181" s="6">
        <f>ROUND(E181*F181,2)</f>
        <v>336.84</v>
      </c>
      <c r="H181" s="573">
        <f t="shared" si="5"/>
        <v>2.7854951073043887E-3</v>
      </c>
      <c r="M181" s="70"/>
      <c r="O181" s="70"/>
    </row>
    <row r="182" spans="1:15" s="50" customFormat="1" ht="18">
      <c r="A182" s="51">
        <v>52</v>
      </c>
      <c r="B182" s="433"/>
      <c r="C182" s="434" t="s">
        <v>294</v>
      </c>
      <c r="D182" s="435"/>
      <c r="E182" s="436"/>
      <c r="F182" s="437"/>
      <c r="G182" s="438">
        <f>SUM(G183:G184)</f>
        <v>352.07</v>
      </c>
      <c r="H182" s="408">
        <f t="shared" si="5"/>
        <v>2.9114394443316002E-3</v>
      </c>
      <c r="I182" s="432"/>
      <c r="J182" s="432"/>
      <c r="K182" s="432"/>
      <c r="L182" s="432"/>
      <c r="M182" s="70"/>
      <c r="N182" s="432"/>
      <c r="O182" s="70"/>
    </row>
    <row r="183" spans="1:15" s="50" customFormat="1" ht="54">
      <c r="A183" s="7" t="s">
        <v>534</v>
      </c>
      <c r="B183" s="515">
        <v>94975</v>
      </c>
      <c r="C183" s="516" t="s">
        <v>295</v>
      </c>
      <c r="D183" s="517" t="s">
        <v>5</v>
      </c>
      <c r="E183" s="518">
        <f>(1*0.06)+(0.18*0.06)+(0.29*0.06)+(0.29*0.06)+(0.5*0.06)</f>
        <v>0.1356</v>
      </c>
      <c r="F183" s="5">
        <v>453.93</v>
      </c>
      <c r="G183" s="6">
        <f>ROUND(E183*F183,2)</f>
        <v>61.55</v>
      </c>
      <c r="H183" s="408">
        <f t="shared" si="5"/>
        <v>5.0898712698784333E-4</v>
      </c>
      <c r="I183" s="432"/>
      <c r="J183" s="432"/>
      <c r="K183" s="432"/>
      <c r="L183" s="432"/>
      <c r="M183" s="70"/>
      <c r="N183" s="432"/>
      <c r="O183" s="70"/>
    </row>
    <row r="184" spans="1:15" s="50" customFormat="1" ht="36">
      <c r="A184" s="7" t="s">
        <v>535</v>
      </c>
      <c r="B184" s="515">
        <v>94975</v>
      </c>
      <c r="C184" s="516" t="s">
        <v>296</v>
      </c>
      <c r="D184" s="517" t="s">
        <v>5</v>
      </c>
      <c r="E184" s="518">
        <f>0.2*3.2</f>
        <v>0.64000000000000012</v>
      </c>
      <c r="F184" s="5">
        <v>453.93</v>
      </c>
      <c r="G184" s="6">
        <f>ROUND(E184*F184,2)</f>
        <v>290.52</v>
      </c>
      <c r="H184" s="408">
        <f t="shared" si="5"/>
        <v>2.402452317343757E-3</v>
      </c>
      <c r="I184" s="432"/>
      <c r="J184" s="432"/>
      <c r="K184" s="432"/>
      <c r="L184" s="432"/>
      <c r="M184" s="70"/>
      <c r="N184" s="432"/>
      <c r="O184" s="70"/>
    </row>
    <row r="185" spans="1:15" s="50" customFormat="1" ht="18">
      <c r="A185" s="51">
        <v>53</v>
      </c>
      <c r="B185" s="433"/>
      <c r="C185" s="434" t="s">
        <v>297</v>
      </c>
      <c r="D185" s="435"/>
      <c r="E185" s="436"/>
      <c r="F185" s="437"/>
      <c r="G185" s="438">
        <f>SUM(G186:G188)</f>
        <v>762.45</v>
      </c>
      <c r="H185" s="408">
        <f t="shared" si="5"/>
        <v>6.3050728671304821E-3</v>
      </c>
      <c r="I185" s="432"/>
      <c r="J185" s="432"/>
      <c r="K185" s="432"/>
      <c r="L185" s="432"/>
      <c r="M185" s="70"/>
      <c r="N185" s="432"/>
      <c r="O185" s="70"/>
    </row>
    <row r="186" spans="1:15" s="50" customFormat="1" ht="54">
      <c r="A186" s="7" t="s">
        <v>536</v>
      </c>
      <c r="B186" s="515" t="s">
        <v>298</v>
      </c>
      <c r="C186" s="516" t="s">
        <v>299</v>
      </c>
      <c r="D186" s="517" t="s">
        <v>9</v>
      </c>
      <c r="E186" s="518">
        <v>1</v>
      </c>
      <c r="F186" s="5">
        <v>712.61</v>
      </c>
      <c r="G186" s="6">
        <f>ROUND(E186*F186,2)</f>
        <v>712.61</v>
      </c>
      <c r="H186" s="408">
        <f t="shared" si="5"/>
        <v>5.8929214713697329E-3</v>
      </c>
      <c r="I186" s="432"/>
      <c r="J186" s="432"/>
      <c r="K186" s="432"/>
      <c r="L186" s="432"/>
      <c r="M186" s="70"/>
      <c r="N186" s="432"/>
      <c r="O186" s="70"/>
    </row>
    <row r="187" spans="1:15" s="50" customFormat="1" ht="36">
      <c r="A187" s="7" t="s">
        <v>537</v>
      </c>
      <c r="B187" s="515">
        <v>86913</v>
      </c>
      <c r="C187" s="516" t="s">
        <v>300</v>
      </c>
      <c r="D187" s="517" t="s">
        <v>9</v>
      </c>
      <c r="E187" s="518">
        <v>1</v>
      </c>
      <c r="F187" s="5">
        <v>44.59</v>
      </c>
      <c r="G187" s="6">
        <f>ROUND(E187*F187,2)</f>
        <v>44.59</v>
      </c>
      <c r="H187" s="408">
        <f t="shared" si="5"/>
        <v>3.6873657176909728E-4</v>
      </c>
      <c r="I187" s="432"/>
      <c r="J187" s="432"/>
      <c r="K187" s="432"/>
      <c r="L187" s="432"/>
      <c r="M187" s="70"/>
      <c r="N187" s="432"/>
      <c r="O187" s="70"/>
    </row>
    <row r="188" spans="1:15" s="50" customFormat="1" ht="66" customHeight="1">
      <c r="A188" s="7" t="s">
        <v>591</v>
      </c>
      <c r="B188" s="515" t="s">
        <v>301</v>
      </c>
      <c r="C188" s="516" t="s">
        <v>479</v>
      </c>
      <c r="D188" s="517" t="s">
        <v>0</v>
      </c>
      <c r="E188" s="518">
        <f>1.05*0.1</f>
        <v>0.10500000000000001</v>
      </c>
      <c r="F188" s="5">
        <v>49.97</v>
      </c>
      <c r="G188" s="6">
        <f>ROUND(E188*F188,2)</f>
        <v>5.25</v>
      </c>
      <c r="H188" s="408">
        <f t="shared" si="5"/>
        <v>4.341482399165195E-5</v>
      </c>
      <c r="I188" s="432"/>
      <c r="J188" s="432"/>
      <c r="K188" s="432"/>
      <c r="L188" s="432"/>
      <c r="M188" s="70"/>
      <c r="N188" s="432"/>
      <c r="O188" s="70"/>
    </row>
    <row r="189" spans="1:15" s="50" customFormat="1" ht="18">
      <c r="A189" s="51">
        <v>54</v>
      </c>
      <c r="B189" s="433"/>
      <c r="C189" s="434" t="s">
        <v>8</v>
      </c>
      <c r="D189" s="435"/>
      <c r="E189" s="436"/>
      <c r="F189" s="437"/>
      <c r="G189" s="438">
        <f>SUM(G190:G191)</f>
        <v>401.78</v>
      </c>
      <c r="H189" s="408">
        <f t="shared" si="5"/>
        <v>3.3225158063554133E-3</v>
      </c>
      <c r="I189" s="432"/>
      <c r="J189" s="432"/>
      <c r="K189" s="432"/>
      <c r="L189" s="432"/>
      <c r="M189" s="70"/>
      <c r="N189" s="432"/>
      <c r="O189" s="70"/>
    </row>
    <row r="190" spans="1:15" ht="60" customHeight="1">
      <c r="A190" s="7" t="s">
        <v>538</v>
      </c>
      <c r="B190" s="515">
        <v>89957</v>
      </c>
      <c r="C190" s="516" t="s">
        <v>302</v>
      </c>
      <c r="D190" s="517" t="s">
        <v>9</v>
      </c>
      <c r="E190" s="518">
        <v>2</v>
      </c>
      <c r="F190" s="5">
        <v>142.28</v>
      </c>
      <c r="G190" s="520">
        <f>ROUND(E190*F190,2)</f>
        <v>284.56</v>
      </c>
      <c r="H190" s="408">
        <f t="shared" si="5"/>
        <v>2.3531661552503771E-3</v>
      </c>
      <c r="I190" s="439"/>
      <c r="J190" s="432"/>
      <c r="K190" s="432"/>
      <c r="L190" s="432"/>
      <c r="M190" s="70"/>
      <c r="N190" s="432"/>
      <c r="O190" s="70"/>
    </row>
    <row r="191" spans="1:15" s="50" customFormat="1" ht="36">
      <c r="A191" s="7" t="s">
        <v>539</v>
      </c>
      <c r="B191" s="515" t="s">
        <v>303</v>
      </c>
      <c r="C191" s="516" t="s">
        <v>304</v>
      </c>
      <c r="D191" s="517" t="s">
        <v>9</v>
      </c>
      <c r="E191" s="518">
        <v>1</v>
      </c>
      <c r="F191" s="5">
        <v>117.22</v>
      </c>
      <c r="G191" s="520">
        <f>ROUND(E191*F191,2)</f>
        <v>117.22</v>
      </c>
      <c r="H191" s="408">
        <f t="shared" si="5"/>
        <v>9.6934965110503652E-4</v>
      </c>
      <c r="I191" s="432"/>
      <c r="J191" s="432"/>
      <c r="K191" s="432"/>
      <c r="L191" s="432"/>
      <c r="M191" s="70"/>
      <c r="N191" s="432"/>
      <c r="O191" s="70"/>
    </row>
    <row r="192" spans="1:15" s="50" customFormat="1" ht="18">
      <c r="A192" s="51">
        <v>55</v>
      </c>
      <c r="B192" s="433"/>
      <c r="C192" s="434" t="s">
        <v>480</v>
      </c>
      <c r="D192" s="435"/>
      <c r="E192" s="436"/>
      <c r="F192" s="437"/>
      <c r="G192" s="438">
        <f>SUM(G193:G203)</f>
        <v>3100.5</v>
      </c>
      <c r="H192" s="408">
        <f t="shared" si="5"/>
        <v>2.5639554625927024E-2</v>
      </c>
      <c r="I192" s="432"/>
      <c r="J192" s="432"/>
      <c r="K192" s="432"/>
      <c r="L192" s="432"/>
      <c r="M192" s="70"/>
      <c r="N192" s="432"/>
      <c r="O192" s="70"/>
    </row>
    <row r="193" spans="1:15" s="50" customFormat="1" ht="36">
      <c r="A193" s="7" t="s">
        <v>540</v>
      </c>
      <c r="B193" s="570">
        <v>92980</v>
      </c>
      <c r="C193" s="8" t="s">
        <v>481</v>
      </c>
      <c r="D193" s="4" t="s">
        <v>10</v>
      </c>
      <c r="E193" s="5">
        <v>96</v>
      </c>
      <c r="F193" s="5">
        <v>11.7</v>
      </c>
      <c r="G193" s="6">
        <f>ROUND(E193*F193,2)</f>
        <v>1123.2</v>
      </c>
      <c r="H193" s="573">
        <f t="shared" si="5"/>
        <v>9.288291487128281E-3</v>
      </c>
      <c r="M193" s="70"/>
      <c r="O193" s="70"/>
    </row>
    <row r="194" spans="1:15" s="50" customFormat="1" ht="36">
      <c r="A194" s="7" t="s">
        <v>541</v>
      </c>
      <c r="B194" s="570">
        <v>91929</v>
      </c>
      <c r="C194" s="8" t="s">
        <v>482</v>
      </c>
      <c r="D194" s="4" t="s">
        <v>10</v>
      </c>
      <c r="E194" s="5">
        <v>28</v>
      </c>
      <c r="F194" s="5">
        <v>7.89</v>
      </c>
      <c r="G194" s="6">
        <f t="shared" ref="G194:G203" si="6">ROUND(E194*F194,2)</f>
        <v>220.92</v>
      </c>
      <c r="H194" s="573">
        <f t="shared" si="5"/>
        <v>1.826895793568714E-3</v>
      </c>
      <c r="M194" s="70"/>
      <c r="O194" s="70"/>
    </row>
    <row r="195" spans="1:15" s="50" customFormat="1" ht="36">
      <c r="A195" s="7" t="s">
        <v>592</v>
      </c>
      <c r="B195" s="570">
        <v>91927</v>
      </c>
      <c r="C195" s="8" t="s">
        <v>483</v>
      </c>
      <c r="D195" s="4" t="s">
        <v>10</v>
      </c>
      <c r="E195" s="5">
        <v>84</v>
      </c>
      <c r="F195" s="5">
        <v>5.61</v>
      </c>
      <c r="G195" s="6">
        <f t="shared" si="6"/>
        <v>471.24</v>
      </c>
      <c r="H195" s="573">
        <f t="shared" si="5"/>
        <v>3.8969146014906789E-3</v>
      </c>
      <c r="M195" s="70"/>
      <c r="O195" s="70"/>
    </row>
    <row r="196" spans="1:15" s="50" customFormat="1" ht="36">
      <c r="A196" s="7" t="s">
        <v>593</v>
      </c>
      <c r="B196" s="570">
        <v>95731</v>
      </c>
      <c r="C196" s="8" t="s">
        <v>484</v>
      </c>
      <c r="D196" s="4" t="s">
        <v>10</v>
      </c>
      <c r="E196" s="5">
        <v>42</v>
      </c>
      <c r="F196" s="5">
        <v>11.27</v>
      </c>
      <c r="G196" s="6">
        <f t="shared" si="6"/>
        <v>473.34</v>
      </c>
      <c r="H196" s="573">
        <f t="shared" si="5"/>
        <v>3.9142805310873399E-3</v>
      </c>
      <c r="M196" s="70"/>
      <c r="O196" s="70"/>
    </row>
    <row r="197" spans="1:15" s="50" customFormat="1" ht="36">
      <c r="A197" s="7" t="s">
        <v>594</v>
      </c>
      <c r="B197" s="570">
        <v>95818</v>
      </c>
      <c r="C197" s="8" t="s">
        <v>494</v>
      </c>
      <c r="D197" s="4" t="s">
        <v>9</v>
      </c>
      <c r="E197" s="5">
        <v>2</v>
      </c>
      <c r="F197" s="5">
        <v>37.299999999999997</v>
      </c>
      <c r="G197" s="6">
        <f t="shared" si="6"/>
        <v>74.599999999999994</v>
      </c>
      <c r="H197" s="573">
        <f t="shared" si="5"/>
        <v>6.1690397519566383E-4</v>
      </c>
      <c r="M197" s="70"/>
      <c r="O197" s="70"/>
    </row>
    <row r="198" spans="1:15" s="50" customFormat="1" ht="36">
      <c r="A198" s="7" t="s">
        <v>595</v>
      </c>
      <c r="B198" s="570">
        <v>95738</v>
      </c>
      <c r="C198" s="8" t="s">
        <v>495</v>
      </c>
      <c r="D198" s="4" t="s">
        <v>9</v>
      </c>
      <c r="E198" s="5">
        <v>6</v>
      </c>
      <c r="F198" s="5">
        <v>8.59</v>
      </c>
      <c r="G198" s="6">
        <f t="shared" si="6"/>
        <v>51.54</v>
      </c>
      <c r="H198" s="573">
        <f t="shared" si="5"/>
        <v>4.2620952924376029E-4</v>
      </c>
      <c r="M198" s="70"/>
      <c r="O198" s="70"/>
    </row>
    <row r="199" spans="1:15" s="50" customFormat="1" ht="39" customHeight="1">
      <c r="A199" s="7" t="s">
        <v>596</v>
      </c>
      <c r="B199" s="570" t="str">
        <f>COMPOSIÇÕES!D78</f>
        <v>COMPOSIÇÃO 07</v>
      </c>
      <c r="C199" s="8" t="str">
        <f>COMPOSIÇÕES!D79</f>
        <v>FORNECIMENTO COM INSTALAÇÃO DE CURVA 1", MODELO CONDULETE TOP OU SIMILAR</v>
      </c>
      <c r="D199" s="4" t="s">
        <v>9</v>
      </c>
      <c r="E199" s="5">
        <v>6</v>
      </c>
      <c r="F199" s="5">
        <f>COMPOSIÇÕES!H83</f>
        <v>21.235883999999999</v>
      </c>
      <c r="G199" s="6">
        <f t="shared" si="6"/>
        <v>127.42</v>
      </c>
      <c r="H199" s="573">
        <f t="shared" si="5"/>
        <v>1.0536984520031032E-3</v>
      </c>
      <c r="M199" s="70"/>
      <c r="O199" s="70"/>
    </row>
    <row r="200" spans="1:15" s="50" customFormat="1" ht="18">
      <c r="A200" s="7" t="s">
        <v>597</v>
      </c>
      <c r="B200" s="570" t="str">
        <f>COMPOSIÇÕES!D94</f>
        <v>COMPOSIÇÃO 09</v>
      </c>
      <c r="C200" s="8" t="str">
        <f>COMPOSIÇÕES!D95</f>
        <v>FORNECIMENTO COM INSTALAÇÃO CAIXA 4X2", COM TAMPA CEGA</v>
      </c>
      <c r="D200" s="4" t="s">
        <v>9</v>
      </c>
      <c r="E200" s="5">
        <v>4</v>
      </c>
      <c r="F200" s="5">
        <f>COMPOSIÇÕES!H101</f>
        <v>9.0240000000000009</v>
      </c>
      <c r="G200" s="6">
        <f t="shared" si="6"/>
        <v>36.1</v>
      </c>
      <c r="H200" s="573">
        <f t="shared" si="5"/>
        <v>2.9852859925688294E-4</v>
      </c>
      <c r="M200" s="70"/>
      <c r="O200" s="70"/>
    </row>
    <row r="201" spans="1:15" s="50" customFormat="1" ht="18">
      <c r="A201" s="7" t="s">
        <v>598</v>
      </c>
      <c r="B201" s="570" t="str">
        <f>COMPOSIÇÕES!D105</f>
        <v>COMPOSIÇÃO 10</v>
      </c>
      <c r="C201" s="8" t="str">
        <f>COMPOSIÇÕES!D106</f>
        <v>FORNECIMENTO COM INSTALAÇÃO CAIXA 4X4", COM TAMPA CEGA</v>
      </c>
      <c r="D201" s="4" t="s">
        <v>9</v>
      </c>
      <c r="E201" s="5">
        <v>2</v>
      </c>
      <c r="F201" s="5">
        <f>COMPOSIÇÕES!H112</f>
        <v>13.034000000000001</v>
      </c>
      <c r="G201" s="6">
        <f t="shared" si="6"/>
        <v>26.07</v>
      </c>
      <c r="H201" s="573">
        <f t="shared" si="5"/>
        <v>2.155856117071174E-4</v>
      </c>
      <c r="M201" s="70"/>
      <c r="O201" s="70"/>
    </row>
    <row r="202" spans="1:15" s="50" customFormat="1" ht="38.25" customHeight="1">
      <c r="A202" s="7" t="s">
        <v>599</v>
      </c>
      <c r="B202" s="570" t="str">
        <f>COMPOSIÇÕES!D86</f>
        <v>COMPOSIÇÃO 08</v>
      </c>
      <c r="C202" s="8" t="str">
        <f>COMPOSIÇÕES!D87</f>
        <v>FORNECIMENTO COM INSTALAÇÃO DE ABRAÇADEIRA DE 1", MODELO CONDULETE TOP OU SIMILAR</v>
      </c>
      <c r="D202" s="4" t="s">
        <v>9</v>
      </c>
      <c r="E202" s="5">
        <v>28</v>
      </c>
      <c r="F202" s="5">
        <f>COMPOSIÇÕES!H91</f>
        <v>12.115883999999999</v>
      </c>
      <c r="G202" s="6">
        <f t="shared" si="6"/>
        <v>339.24</v>
      </c>
      <c r="H202" s="573">
        <f t="shared" ref="H202:H251" si="7">G202/$G$269</f>
        <v>2.8053418839862872E-3</v>
      </c>
      <c r="M202" s="70"/>
      <c r="O202" s="70"/>
    </row>
    <row r="203" spans="1:15" s="50" customFormat="1" ht="24.75" customHeight="1">
      <c r="A203" s="7" t="s">
        <v>600</v>
      </c>
      <c r="B203" s="570" t="str">
        <f>COMPOSIÇÕES!D36</f>
        <v xml:space="preserve">COMPOSIÇÃO 03  </v>
      </c>
      <c r="C203" s="8" t="str">
        <f>COMPOSIÇÕES!D37</f>
        <v>TOMADA TIPO CONDULETE DE SOBREPOR COMPLETA</v>
      </c>
      <c r="D203" s="4" t="s">
        <v>9</v>
      </c>
      <c r="E203" s="5">
        <v>4</v>
      </c>
      <c r="F203" s="5">
        <f>COMPOSIÇÕES!H46</f>
        <v>39.2074</v>
      </c>
      <c r="G203" s="6">
        <f t="shared" si="6"/>
        <v>156.83000000000001</v>
      </c>
      <c r="H203" s="573">
        <f t="shared" si="7"/>
        <v>1.2969041612591954E-3</v>
      </c>
      <c r="M203" s="70"/>
      <c r="O203" s="70"/>
    </row>
    <row r="204" spans="1:15" ht="18">
      <c r="A204" s="51">
        <v>56</v>
      </c>
      <c r="B204" s="433"/>
      <c r="C204" s="434" t="s">
        <v>4</v>
      </c>
      <c r="D204" s="435"/>
      <c r="E204" s="436"/>
      <c r="F204" s="437"/>
      <c r="G204" s="438">
        <f>SUM(G205:G209)</f>
        <v>4690.18</v>
      </c>
      <c r="H204" s="408">
        <f t="shared" si="7"/>
        <v>3.8785397940793553E-2</v>
      </c>
      <c r="I204" s="432"/>
      <c r="J204" s="432"/>
      <c r="K204" s="432"/>
      <c r="L204" s="432"/>
      <c r="M204" s="70"/>
      <c r="N204" s="432"/>
      <c r="O204" s="70"/>
    </row>
    <row r="205" spans="1:15" ht="36">
      <c r="A205" s="7" t="s">
        <v>542</v>
      </c>
      <c r="B205" s="515" t="s">
        <v>357</v>
      </c>
      <c r="C205" s="516" t="s">
        <v>305</v>
      </c>
      <c r="D205" s="517" t="s">
        <v>9</v>
      </c>
      <c r="E205" s="518">
        <v>1</v>
      </c>
      <c r="F205" s="5">
        <f>COMPOSIÇÕES!H33</f>
        <v>2027.1243200000001</v>
      </c>
      <c r="G205" s="6">
        <f>ROUND(E205*F205,2)</f>
        <v>2027.12</v>
      </c>
      <c r="H205" s="408">
        <f t="shared" si="7"/>
        <v>1.6763249144753807E-2</v>
      </c>
      <c r="I205" s="439"/>
      <c r="J205" s="432"/>
      <c r="K205" s="432"/>
      <c r="L205" s="432"/>
      <c r="M205" s="70"/>
      <c r="N205" s="432"/>
      <c r="O205" s="70"/>
    </row>
    <row r="206" spans="1:15" s="50" customFormat="1" ht="54">
      <c r="A206" s="7" t="s">
        <v>543</v>
      </c>
      <c r="B206" s="515">
        <v>94569</v>
      </c>
      <c r="C206" s="516" t="s">
        <v>306</v>
      </c>
      <c r="D206" s="517" t="s">
        <v>0</v>
      </c>
      <c r="E206" s="518">
        <f>3.2*0.6</f>
        <v>1.92</v>
      </c>
      <c r="F206" s="5">
        <v>437.25</v>
      </c>
      <c r="G206" s="6">
        <f>ROUND(E206*F206,2)</f>
        <v>839.52</v>
      </c>
      <c r="H206" s="408">
        <f t="shared" si="7"/>
        <v>6.9424024833279318E-3</v>
      </c>
      <c r="I206" s="432"/>
      <c r="J206" s="432"/>
      <c r="K206" s="432"/>
      <c r="L206" s="432"/>
      <c r="M206" s="70"/>
      <c r="N206" s="432"/>
      <c r="O206" s="70"/>
    </row>
    <row r="207" spans="1:15" ht="54">
      <c r="A207" s="7" t="s">
        <v>544</v>
      </c>
      <c r="B207" s="515">
        <v>94569</v>
      </c>
      <c r="C207" s="516" t="s">
        <v>307</v>
      </c>
      <c r="D207" s="517" t="s">
        <v>0</v>
      </c>
      <c r="E207" s="518">
        <f>2.4*0.6</f>
        <v>1.44</v>
      </c>
      <c r="F207" s="5">
        <v>437.25</v>
      </c>
      <c r="G207" s="6">
        <f>ROUND(E207*F207,2)</f>
        <v>629.64</v>
      </c>
      <c r="H207" s="408">
        <f t="shared" si="7"/>
        <v>5.2068018624959493E-3</v>
      </c>
      <c r="I207" s="439"/>
      <c r="J207" s="432"/>
      <c r="K207" s="432"/>
      <c r="L207" s="432"/>
      <c r="M207" s="70"/>
      <c r="N207" s="432"/>
      <c r="O207" s="70"/>
    </row>
    <row r="208" spans="1:15" s="50" customFormat="1" ht="54">
      <c r="A208" s="7" t="s">
        <v>545</v>
      </c>
      <c r="B208" s="515" t="s">
        <v>308</v>
      </c>
      <c r="C208" s="516" t="s">
        <v>309</v>
      </c>
      <c r="D208" s="517" t="s">
        <v>0</v>
      </c>
      <c r="E208" s="518">
        <v>4.5999999999999996</v>
      </c>
      <c r="F208" s="5">
        <v>138.66</v>
      </c>
      <c r="G208" s="6">
        <f>ROUND(E208*F208,2)</f>
        <v>637.84</v>
      </c>
      <c r="H208" s="408">
        <f t="shared" si="7"/>
        <v>5.2746116828257675E-3</v>
      </c>
      <c r="I208" s="432"/>
      <c r="J208" s="432"/>
      <c r="K208" s="432"/>
      <c r="L208" s="432"/>
      <c r="M208" s="70"/>
      <c r="N208" s="432"/>
      <c r="O208" s="70"/>
    </row>
    <row r="209" spans="1:15" s="50" customFormat="1" ht="36">
      <c r="A209" s="7" t="s">
        <v>546</v>
      </c>
      <c r="B209" s="515">
        <v>102161</v>
      </c>
      <c r="C209" s="516" t="s">
        <v>310</v>
      </c>
      <c r="D209" s="517" t="s">
        <v>0</v>
      </c>
      <c r="E209" s="518">
        <f>1.7*1.2</f>
        <v>2.04</v>
      </c>
      <c r="F209" s="5">
        <v>272.58</v>
      </c>
      <c r="G209" s="6">
        <f>ROUND(E209*F209,2)</f>
        <v>556.05999999999995</v>
      </c>
      <c r="H209" s="408">
        <f t="shared" si="7"/>
        <v>4.5983327673900917E-3</v>
      </c>
      <c r="I209" s="432"/>
      <c r="J209" s="432"/>
      <c r="K209" s="432"/>
      <c r="L209" s="432"/>
      <c r="M209" s="70"/>
      <c r="N209" s="432"/>
      <c r="O209" s="70"/>
    </row>
    <row r="210" spans="1:15" ht="18" customHeight="1">
      <c r="A210" s="51">
        <v>57</v>
      </c>
      <c r="B210" s="433"/>
      <c r="C210" s="434" t="s">
        <v>1</v>
      </c>
      <c r="D210" s="435"/>
      <c r="E210" s="436"/>
      <c r="F210" s="437"/>
      <c r="G210" s="438">
        <f>SUM(G211:G213)</f>
        <v>6291.7899999999991</v>
      </c>
      <c r="H210" s="408">
        <f t="shared" si="7"/>
        <v>5.2029896274749673E-2</v>
      </c>
      <c r="I210" s="432"/>
      <c r="J210" s="432"/>
      <c r="K210" s="432"/>
      <c r="L210" s="432"/>
      <c r="M210" s="70"/>
      <c r="N210" s="432"/>
      <c r="O210" s="70"/>
    </row>
    <row r="211" spans="1:15" ht="36">
      <c r="A211" s="7" t="s">
        <v>547</v>
      </c>
      <c r="B211" s="515">
        <v>88488</v>
      </c>
      <c r="C211" s="516" t="s">
        <v>311</v>
      </c>
      <c r="D211" s="517" t="s">
        <v>0</v>
      </c>
      <c r="E211" s="518">
        <v>172.88</v>
      </c>
      <c r="F211" s="5">
        <v>14.63</v>
      </c>
      <c r="G211" s="6">
        <f>ROUND(E211*F211,2)</f>
        <v>2529.23</v>
      </c>
      <c r="H211" s="408">
        <f t="shared" si="7"/>
        <v>2.0915442911315401E-2</v>
      </c>
      <c r="I211" s="439"/>
      <c r="J211" s="432"/>
      <c r="K211" s="432"/>
      <c r="L211" s="432"/>
      <c r="M211" s="70"/>
      <c r="N211" s="432"/>
      <c r="O211" s="70"/>
    </row>
    <row r="212" spans="1:15" s="50" customFormat="1" ht="36">
      <c r="A212" s="7" t="s">
        <v>548</v>
      </c>
      <c r="B212" s="515">
        <v>88495</v>
      </c>
      <c r="C212" s="516" t="s">
        <v>312</v>
      </c>
      <c r="D212" s="517" t="s">
        <v>0</v>
      </c>
      <c r="E212" s="518">
        <f>(51.61*3.77)-(3.2*0.6+2.4*0.6+1.8*1.3+0.8*2.1*3+2.8*2.45+4.72*0.96*3)</f>
        <v>163.37610000000001</v>
      </c>
      <c r="F212" s="5">
        <v>10.36</v>
      </c>
      <c r="G212" s="6">
        <f>ROUND(E212*F212,2)</f>
        <v>1692.58</v>
      </c>
      <c r="H212" s="408">
        <f t="shared" si="7"/>
        <v>1.3996773865102905E-2</v>
      </c>
      <c r="I212" s="432"/>
      <c r="J212" s="432"/>
      <c r="K212" s="432"/>
      <c r="L212" s="432"/>
      <c r="M212" s="70"/>
      <c r="N212" s="432"/>
      <c r="O212" s="70"/>
    </row>
    <row r="213" spans="1:15" ht="36">
      <c r="A213" s="7" t="s">
        <v>549</v>
      </c>
      <c r="B213" s="515">
        <v>88489</v>
      </c>
      <c r="C213" s="516" t="s">
        <v>6</v>
      </c>
      <c r="D213" s="517" t="s">
        <v>0</v>
      </c>
      <c r="E213" s="518">
        <f>E212</f>
        <v>163.37610000000001</v>
      </c>
      <c r="F213" s="5">
        <v>12.67</v>
      </c>
      <c r="G213" s="6">
        <f>ROUND(E213*F213,2)</f>
        <v>2069.98</v>
      </c>
      <c r="H213" s="408">
        <f t="shared" si="7"/>
        <v>1.7117679498331373E-2</v>
      </c>
      <c r="I213" s="439"/>
      <c r="J213" s="432"/>
      <c r="K213" s="432"/>
      <c r="L213" s="432"/>
      <c r="M213" s="70"/>
      <c r="N213" s="432"/>
      <c r="O213" s="70"/>
    </row>
    <row r="214" spans="1:15" s="50" customFormat="1" ht="18">
      <c r="A214" s="67"/>
      <c r="B214" s="68"/>
      <c r="C214" s="66" t="s">
        <v>313</v>
      </c>
      <c r="D214" s="68"/>
      <c r="E214" s="68"/>
      <c r="F214" s="68"/>
      <c r="G214" s="440">
        <f>SUM(G215,G217,G219,G229)</f>
        <v>4538.84</v>
      </c>
      <c r="H214" s="408">
        <f t="shared" si="7"/>
        <v>3.7533893281194199E-2</v>
      </c>
      <c r="I214" s="432"/>
      <c r="J214" s="432"/>
      <c r="K214" s="432"/>
      <c r="L214" s="432"/>
      <c r="M214" s="70"/>
      <c r="N214" s="432"/>
      <c r="O214" s="70"/>
    </row>
    <row r="215" spans="1:15" ht="18">
      <c r="A215" s="51">
        <v>58</v>
      </c>
      <c r="B215" s="433"/>
      <c r="C215" s="434" t="s">
        <v>314</v>
      </c>
      <c r="D215" s="435"/>
      <c r="E215" s="436"/>
      <c r="F215" s="437"/>
      <c r="G215" s="438">
        <f>SUM(G216:G216)</f>
        <v>20.12</v>
      </c>
      <c r="H215" s="408">
        <f t="shared" si="7"/>
        <v>1.6638214451657852E-4</v>
      </c>
      <c r="I215" s="439"/>
      <c r="J215" s="432"/>
      <c r="K215" s="432"/>
      <c r="L215" s="432"/>
      <c r="M215" s="70"/>
      <c r="N215" s="432"/>
      <c r="O215" s="70"/>
    </row>
    <row r="216" spans="1:15" s="50" customFormat="1" ht="54">
      <c r="A216" s="7" t="s">
        <v>550</v>
      </c>
      <c r="B216" s="515">
        <v>97622</v>
      </c>
      <c r="C216" s="516" t="s">
        <v>315</v>
      </c>
      <c r="D216" s="517" t="s">
        <v>5</v>
      </c>
      <c r="E216" s="518">
        <f>1.8*1.5*0.15</f>
        <v>0.40500000000000003</v>
      </c>
      <c r="F216" s="5">
        <v>49.67</v>
      </c>
      <c r="G216" s="6">
        <f>ROUND(E216*F216,2)</f>
        <v>20.12</v>
      </c>
      <c r="H216" s="408">
        <f t="shared" si="7"/>
        <v>1.6638214451657852E-4</v>
      </c>
      <c r="I216" s="432"/>
      <c r="J216" s="432"/>
      <c r="K216" s="432"/>
      <c r="L216" s="432"/>
      <c r="M216" s="70"/>
      <c r="N216" s="432"/>
      <c r="O216" s="70"/>
    </row>
    <row r="217" spans="1:15" s="50" customFormat="1" ht="18">
      <c r="A217" s="51">
        <v>59</v>
      </c>
      <c r="B217" s="433"/>
      <c r="C217" s="434" t="s">
        <v>316</v>
      </c>
      <c r="D217" s="435"/>
      <c r="E217" s="436"/>
      <c r="F217" s="437"/>
      <c r="G217" s="438">
        <f>SUM(G218:G218)</f>
        <v>836.1</v>
      </c>
      <c r="H217" s="408">
        <f t="shared" si="7"/>
        <v>6.9141208265562281E-3</v>
      </c>
      <c r="I217" s="432"/>
      <c r="J217" s="432"/>
      <c r="K217" s="432"/>
      <c r="L217" s="432"/>
      <c r="M217" s="70"/>
      <c r="N217" s="432"/>
      <c r="O217" s="70"/>
    </row>
    <row r="218" spans="1:15" s="50" customFormat="1" ht="72">
      <c r="A218" s="7" t="s">
        <v>551</v>
      </c>
      <c r="B218" s="515">
        <v>87489</v>
      </c>
      <c r="C218" s="519" t="s">
        <v>317</v>
      </c>
      <c r="D218" s="517" t="s">
        <v>0</v>
      </c>
      <c r="E218" s="518">
        <f>4.15*3.77</f>
        <v>15.645500000000002</v>
      </c>
      <c r="F218" s="5">
        <v>53.44</v>
      </c>
      <c r="G218" s="6">
        <f>ROUND(E218*F218,2)</f>
        <v>836.1</v>
      </c>
      <c r="H218" s="408">
        <f t="shared" si="7"/>
        <v>6.9141208265562281E-3</v>
      </c>
      <c r="I218" s="432"/>
      <c r="J218" s="432"/>
      <c r="K218" s="432"/>
      <c r="L218" s="432"/>
      <c r="M218" s="70"/>
      <c r="N218" s="432"/>
      <c r="O218" s="70"/>
    </row>
    <row r="219" spans="1:15" ht="18" customHeight="1">
      <c r="A219" s="51">
        <v>60</v>
      </c>
      <c r="B219" s="433"/>
      <c r="C219" s="434" t="s">
        <v>318</v>
      </c>
      <c r="D219" s="435"/>
      <c r="E219" s="436"/>
      <c r="F219" s="437"/>
      <c r="G219" s="438">
        <f>SUM(G220:G228)</f>
        <v>2802.18</v>
      </c>
      <c r="H219" s="408">
        <f t="shared" si="7"/>
        <v>2.3172600284367097E-2</v>
      </c>
      <c r="I219" s="432"/>
      <c r="J219" s="432"/>
      <c r="K219" s="432"/>
      <c r="L219" s="432"/>
      <c r="M219" s="70"/>
      <c r="N219" s="432"/>
      <c r="O219" s="70"/>
    </row>
    <row r="220" spans="1:15" ht="34.5" customHeight="1">
      <c r="A220" s="7" t="s">
        <v>552</v>
      </c>
      <c r="B220" s="515">
        <v>87530</v>
      </c>
      <c r="C220" s="516" t="s">
        <v>319</v>
      </c>
      <c r="D220" s="517" t="s">
        <v>0</v>
      </c>
      <c r="E220" s="518">
        <f>(4.15*3.77)+(4.45*3.77)</f>
        <v>32.422000000000004</v>
      </c>
      <c r="F220" s="5">
        <v>41.29</v>
      </c>
      <c r="G220" s="6">
        <f t="shared" ref="G220:G228" si="8">ROUND(E220*F220,2)</f>
        <v>1338.7</v>
      </c>
      <c r="H220" s="408">
        <f t="shared" si="7"/>
        <v>1.1070366643357041E-2</v>
      </c>
      <c r="I220" s="439"/>
      <c r="J220" s="432"/>
      <c r="K220" s="432"/>
      <c r="L220" s="432"/>
      <c r="M220" s="70"/>
      <c r="N220" s="432"/>
      <c r="O220" s="70"/>
    </row>
    <row r="221" spans="1:15" ht="72">
      <c r="A221" s="7" t="s">
        <v>601</v>
      </c>
      <c r="B221" s="515">
        <v>87548</v>
      </c>
      <c r="C221" s="519" t="s">
        <v>320</v>
      </c>
      <c r="D221" s="517" t="s">
        <v>0</v>
      </c>
      <c r="E221" s="518">
        <f>(1.5+1.8+1.5)*0.15</f>
        <v>0.72</v>
      </c>
      <c r="F221" s="5">
        <v>26.2</v>
      </c>
      <c r="G221" s="6">
        <f t="shared" si="8"/>
        <v>18.86</v>
      </c>
      <c r="H221" s="408">
        <f t="shared" si="7"/>
        <v>1.5596258675858204E-4</v>
      </c>
      <c r="I221" s="439"/>
      <c r="J221" s="432"/>
      <c r="K221" s="432"/>
      <c r="L221" s="432"/>
      <c r="M221" s="70"/>
      <c r="N221" s="432"/>
      <c r="O221" s="70"/>
    </row>
    <row r="222" spans="1:15" ht="36" customHeight="1">
      <c r="A222" s="7" t="s">
        <v>602</v>
      </c>
      <c r="B222" s="515">
        <v>88485</v>
      </c>
      <c r="C222" s="516" t="s">
        <v>321</v>
      </c>
      <c r="D222" s="517" t="s">
        <v>0</v>
      </c>
      <c r="E222" s="518">
        <f>E220</f>
        <v>32.422000000000004</v>
      </c>
      <c r="F222" s="5">
        <v>2.4300000000000002</v>
      </c>
      <c r="G222" s="6">
        <f t="shared" si="8"/>
        <v>78.790000000000006</v>
      </c>
      <c r="H222" s="408">
        <f t="shared" si="7"/>
        <v>6.5155313948614423E-4</v>
      </c>
      <c r="I222" s="439"/>
      <c r="J222" s="432"/>
      <c r="K222" s="432"/>
      <c r="L222" s="432"/>
      <c r="M222" s="70"/>
      <c r="N222" s="432"/>
      <c r="O222" s="70"/>
    </row>
    <row r="223" spans="1:15" ht="36">
      <c r="A223" s="7" t="s">
        <v>603</v>
      </c>
      <c r="B223" s="515">
        <v>88497</v>
      </c>
      <c r="C223" s="516" t="s">
        <v>322</v>
      </c>
      <c r="D223" s="517" t="s">
        <v>0</v>
      </c>
      <c r="E223" s="518">
        <f>E220</f>
        <v>32.422000000000004</v>
      </c>
      <c r="F223" s="5">
        <v>14.18</v>
      </c>
      <c r="G223" s="6">
        <f t="shared" si="8"/>
        <v>459.74</v>
      </c>
      <c r="H223" s="408">
        <f t="shared" si="7"/>
        <v>3.801815463223251E-3</v>
      </c>
      <c r="I223" s="439"/>
      <c r="J223" s="432"/>
      <c r="K223" s="432"/>
      <c r="L223" s="432"/>
      <c r="M223" s="70"/>
      <c r="N223" s="432"/>
      <c r="O223" s="70"/>
    </row>
    <row r="224" spans="1:15" ht="36">
      <c r="A224" s="7" t="s">
        <v>604</v>
      </c>
      <c r="B224" s="515">
        <v>88489</v>
      </c>
      <c r="C224" s="516" t="s">
        <v>323</v>
      </c>
      <c r="D224" s="517" t="s">
        <v>0</v>
      </c>
      <c r="E224" s="518">
        <f>E220</f>
        <v>32.422000000000004</v>
      </c>
      <c r="F224" s="5">
        <v>12.67</v>
      </c>
      <c r="G224" s="6">
        <f t="shared" si="8"/>
        <v>410.79</v>
      </c>
      <c r="H224" s="408">
        <f t="shared" si="7"/>
        <v>3.3970239138153722E-3</v>
      </c>
      <c r="I224" s="439"/>
      <c r="J224" s="432"/>
      <c r="K224" s="432"/>
      <c r="L224" s="432"/>
      <c r="M224" s="70"/>
      <c r="N224" s="432"/>
      <c r="O224" s="70"/>
    </row>
    <row r="225" spans="1:15" ht="18" customHeight="1">
      <c r="A225" s="7" t="s">
        <v>605</v>
      </c>
      <c r="B225" s="515">
        <v>88495</v>
      </c>
      <c r="C225" s="516" t="s">
        <v>324</v>
      </c>
      <c r="D225" s="517" t="s">
        <v>0</v>
      </c>
      <c r="E225" s="518">
        <f>(4.45*3.77)-(1.8*1.5)</f>
        <v>14.076500000000003</v>
      </c>
      <c r="F225" s="5">
        <v>10.36</v>
      </c>
      <c r="G225" s="6">
        <f t="shared" si="8"/>
        <v>145.83000000000001</v>
      </c>
      <c r="H225" s="408">
        <f t="shared" si="7"/>
        <v>1.2059397681338294E-3</v>
      </c>
      <c r="I225" s="439"/>
      <c r="J225" s="432"/>
      <c r="K225" s="432"/>
      <c r="L225" s="432"/>
      <c r="M225" s="70"/>
      <c r="N225" s="432"/>
      <c r="O225" s="70"/>
    </row>
    <row r="226" spans="1:15" ht="36">
      <c r="A226" s="7" t="s">
        <v>606</v>
      </c>
      <c r="B226" s="515">
        <v>88489</v>
      </c>
      <c r="C226" s="516" t="s">
        <v>325</v>
      </c>
      <c r="D226" s="517" t="s">
        <v>0</v>
      </c>
      <c r="E226" s="518">
        <f>E225</f>
        <v>14.076500000000003</v>
      </c>
      <c r="F226" s="5">
        <v>12.67</v>
      </c>
      <c r="G226" s="6">
        <f t="shared" si="8"/>
        <v>178.35</v>
      </c>
      <c r="H226" s="408">
        <f t="shared" si="7"/>
        <v>1.4748635921735477E-3</v>
      </c>
      <c r="I226" s="432"/>
      <c r="J226" s="432"/>
      <c r="K226" s="432"/>
      <c r="L226" s="432"/>
      <c r="M226" s="70"/>
      <c r="N226" s="432"/>
      <c r="O226" s="70"/>
    </row>
    <row r="227" spans="1:15" ht="36">
      <c r="A227" s="7" t="s">
        <v>607</v>
      </c>
      <c r="B227" s="515">
        <v>88488</v>
      </c>
      <c r="C227" s="516" t="s">
        <v>326</v>
      </c>
      <c r="D227" s="517" t="s">
        <v>0</v>
      </c>
      <c r="E227" s="518">
        <v>4.92</v>
      </c>
      <c r="F227" s="5">
        <v>14.63</v>
      </c>
      <c r="G227" s="6">
        <f t="shared" si="8"/>
        <v>71.98</v>
      </c>
      <c r="H227" s="408">
        <f t="shared" si="7"/>
        <v>5.9523791065125859E-4</v>
      </c>
      <c r="I227" s="432"/>
      <c r="J227" s="432"/>
      <c r="K227" s="432"/>
      <c r="L227" s="432"/>
      <c r="M227" s="70"/>
      <c r="N227" s="432"/>
      <c r="O227" s="70"/>
    </row>
    <row r="228" spans="1:15" ht="18">
      <c r="A228" s="7" t="s">
        <v>608</v>
      </c>
      <c r="B228" s="515" t="s">
        <v>327</v>
      </c>
      <c r="C228" s="516" t="s">
        <v>328</v>
      </c>
      <c r="D228" s="517" t="s">
        <v>0</v>
      </c>
      <c r="E228" s="518">
        <v>4.92</v>
      </c>
      <c r="F228" s="5">
        <v>20.149999999999999</v>
      </c>
      <c r="G228" s="6">
        <f t="shared" si="8"/>
        <v>99.14</v>
      </c>
      <c r="H228" s="408">
        <f t="shared" si="7"/>
        <v>8.198372667680713E-4</v>
      </c>
      <c r="I228" s="432"/>
      <c r="J228" s="432"/>
      <c r="K228" s="432"/>
      <c r="L228" s="432"/>
      <c r="M228" s="70"/>
      <c r="N228" s="432"/>
      <c r="O228" s="70"/>
    </row>
    <row r="229" spans="1:15" s="50" customFormat="1" ht="18">
      <c r="A229" s="51">
        <v>61</v>
      </c>
      <c r="B229" s="433"/>
      <c r="C229" s="434" t="s">
        <v>329</v>
      </c>
      <c r="D229" s="435"/>
      <c r="E229" s="436"/>
      <c r="F229" s="437"/>
      <c r="G229" s="438">
        <f>SUM(G230)</f>
        <v>880.44</v>
      </c>
      <c r="H229" s="408">
        <f t="shared" si="7"/>
        <v>7.2807900257542942E-3</v>
      </c>
      <c r="I229" s="70"/>
      <c r="J229" s="70"/>
      <c r="K229" s="70"/>
      <c r="L229" s="70"/>
      <c r="M229" s="70"/>
      <c r="N229" s="70"/>
      <c r="O229" s="70"/>
    </row>
    <row r="230" spans="1:15" ht="18.75" customHeight="1">
      <c r="A230" s="7" t="s">
        <v>553</v>
      </c>
      <c r="B230" s="515" t="s">
        <v>330</v>
      </c>
      <c r="C230" s="516" t="s">
        <v>331</v>
      </c>
      <c r="D230" s="517" t="s">
        <v>0</v>
      </c>
      <c r="E230" s="518">
        <f>1.8*1.5</f>
        <v>2.7</v>
      </c>
      <c r="F230" s="5">
        <v>326.08999999999997</v>
      </c>
      <c r="G230" s="6">
        <f>ROUND(E230*F230,2)</f>
        <v>880.44</v>
      </c>
      <c r="H230" s="408">
        <f t="shared" si="7"/>
        <v>7.2807900257542942E-3</v>
      </c>
      <c r="I230" s="69"/>
      <c r="J230" s="70"/>
      <c r="K230" s="69"/>
      <c r="L230" s="69"/>
      <c r="M230" s="69"/>
      <c r="N230" s="69"/>
      <c r="O230" s="69"/>
    </row>
    <row r="231" spans="1:15" ht="18.75" customHeight="1">
      <c r="A231" s="67"/>
      <c r="B231" s="68"/>
      <c r="C231" s="66" t="s">
        <v>332</v>
      </c>
      <c r="D231" s="68"/>
      <c r="E231" s="68"/>
      <c r="F231" s="68"/>
      <c r="G231" s="52">
        <f>SUM(G232,G234)</f>
        <v>214.07</v>
      </c>
      <c r="H231" s="408">
        <f t="shared" si="7"/>
        <v>1.7702497851224634E-3</v>
      </c>
      <c r="I231" s="69"/>
      <c r="J231" s="70"/>
      <c r="K231" s="69"/>
      <c r="L231" s="69"/>
      <c r="M231" s="69"/>
      <c r="N231" s="69"/>
      <c r="O231" s="69"/>
    </row>
    <row r="232" spans="1:15" ht="18.75" customHeight="1">
      <c r="A232" s="51">
        <v>62</v>
      </c>
      <c r="B232" s="433"/>
      <c r="C232" s="434" t="s">
        <v>333</v>
      </c>
      <c r="D232" s="435"/>
      <c r="E232" s="436"/>
      <c r="F232" s="437"/>
      <c r="G232" s="438">
        <f>SUM(G233:G233)</f>
        <v>35.99</v>
      </c>
      <c r="H232" s="408">
        <f t="shared" si="7"/>
        <v>2.976189553256293E-4</v>
      </c>
      <c r="I232" s="69"/>
      <c r="J232" s="70"/>
      <c r="K232" s="69"/>
      <c r="L232" s="69"/>
      <c r="M232" s="69"/>
      <c r="N232" s="69"/>
      <c r="O232" s="69"/>
    </row>
    <row r="233" spans="1:15" ht="36">
      <c r="A233" s="7" t="s">
        <v>554</v>
      </c>
      <c r="B233" s="515">
        <v>88488</v>
      </c>
      <c r="C233" s="516" t="s">
        <v>334</v>
      </c>
      <c r="D233" s="517" t="s">
        <v>0</v>
      </c>
      <c r="E233" s="518">
        <v>2.46</v>
      </c>
      <c r="F233" s="5">
        <v>14.63</v>
      </c>
      <c r="G233" s="6">
        <f>ROUND(E233*F233,2)</f>
        <v>35.99</v>
      </c>
      <c r="H233" s="408">
        <f t="shared" si="7"/>
        <v>2.976189553256293E-4</v>
      </c>
      <c r="I233" s="69"/>
      <c r="J233" s="69"/>
      <c r="K233" s="69"/>
      <c r="L233" s="69"/>
      <c r="M233" s="69"/>
      <c r="N233" s="69"/>
      <c r="O233" s="69"/>
    </row>
    <row r="234" spans="1:15" ht="18">
      <c r="A234" s="51">
        <v>63</v>
      </c>
      <c r="B234" s="433"/>
      <c r="C234" s="434" t="s">
        <v>335</v>
      </c>
      <c r="D234" s="435"/>
      <c r="E234" s="436"/>
      <c r="F234" s="437"/>
      <c r="G234" s="438">
        <f>SUM(G235:G236)</f>
        <v>178.07999999999998</v>
      </c>
      <c r="H234" s="408">
        <f t="shared" si="7"/>
        <v>1.4726308297968341E-3</v>
      </c>
      <c r="J234" s="69"/>
    </row>
    <row r="235" spans="1:15" ht="54">
      <c r="A235" s="7" t="s">
        <v>555</v>
      </c>
      <c r="B235" s="515" t="s">
        <v>336</v>
      </c>
      <c r="C235" s="516" t="s">
        <v>337</v>
      </c>
      <c r="D235" s="517" t="s">
        <v>0</v>
      </c>
      <c r="E235" s="518">
        <v>1</v>
      </c>
      <c r="F235" s="5">
        <v>111.25</v>
      </c>
      <c r="G235" s="6">
        <f>ROUND(E235*F235,2)</f>
        <v>111.25</v>
      </c>
      <c r="H235" s="408">
        <f t="shared" si="7"/>
        <v>9.1998079410881509E-4</v>
      </c>
      <c r="J235" s="461"/>
    </row>
    <row r="236" spans="1:15" ht="18">
      <c r="A236" s="7" t="s">
        <v>609</v>
      </c>
      <c r="B236" s="515" t="s">
        <v>338</v>
      </c>
      <c r="C236" s="516" t="s">
        <v>339</v>
      </c>
      <c r="D236" s="517" t="s">
        <v>0</v>
      </c>
      <c r="E236" s="518">
        <v>1</v>
      </c>
      <c r="F236" s="5">
        <v>66.83</v>
      </c>
      <c r="G236" s="6">
        <f>ROUND(E236*F236,2)</f>
        <v>66.83</v>
      </c>
      <c r="H236" s="408">
        <f t="shared" si="7"/>
        <v>5.5265003568801896E-4</v>
      </c>
      <c r="J236" s="69"/>
    </row>
    <row r="237" spans="1:15" ht="18">
      <c r="A237" s="67"/>
      <c r="B237" s="68"/>
      <c r="C237" s="66" t="s">
        <v>340</v>
      </c>
      <c r="D237" s="68"/>
      <c r="E237" s="68"/>
      <c r="F237" s="68"/>
      <c r="G237" s="52">
        <f>SUM(G238,G240,G242)</f>
        <v>1052.03</v>
      </c>
      <c r="H237" s="408">
        <f t="shared" si="7"/>
        <v>8.6997518636071618E-3</v>
      </c>
    </row>
    <row r="238" spans="1:15" ht="18.75" customHeight="1">
      <c r="A238" s="51">
        <v>64</v>
      </c>
      <c r="B238" s="433"/>
      <c r="C238" s="434" t="s">
        <v>341</v>
      </c>
      <c r="D238" s="435"/>
      <c r="E238" s="436"/>
      <c r="F238" s="437"/>
      <c r="G238" s="438">
        <f>SUM(G239:G239)</f>
        <v>451.06</v>
      </c>
      <c r="H238" s="408">
        <f t="shared" si="7"/>
        <v>3.7300362875570532E-3</v>
      </c>
    </row>
    <row r="239" spans="1:15" ht="18">
      <c r="A239" s="7" t="s">
        <v>556</v>
      </c>
      <c r="B239" s="515" t="s">
        <v>342</v>
      </c>
      <c r="C239" s="516" t="s">
        <v>343</v>
      </c>
      <c r="D239" s="517" t="s">
        <v>0</v>
      </c>
      <c r="E239" s="518">
        <f>5.49*1.6</f>
        <v>8.7840000000000007</v>
      </c>
      <c r="F239" s="5">
        <v>51.35</v>
      </c>
      <c r="G239" s="6">
        <f>ROUND(E239*F239,2)</f>
        <v>451.06</v>
      </c>
      <c r="H239" s="408">
        <f t="shared" si="7"/>
        <v>3.7300362875570532E-3</v>
      </c>
    </row>
    <row r="240" spans="1:15" ht="18">
      <c r="A240" s="51">
        <v>65</v>
      </c>
      <c r="B240" s="433"/>
      <c r="C240" s="434" t="s">
        <v>344</v>
      </c>
      <c r="D240" s="435"/>
      <c r="E240" s="436"/>
      <c r="F240" s="437"/>
      <c r="G240" s="438">
        <f>SUM(G241)</f>
        <v>18.510000000000002</v>
      </c>
      <c r="H240" s="408">
        <f t="shared" si="7"/>
        <v>1.5306826515913859E-4</v>
      </c>
    </row>
    <row r="241" spans="1:8" ht="18">
      <c r="A241" s="7" t="s">
        <v>557</v>
      </c>
      <c r="B241" s="515">
        <v>96113</v>
      </c>
      <c r="C241" s="516" t="s">
        <v>345</v>
      </c>
      <c r="D241" s="517" t="s">
        <v>0</v>
      </c>
      <c r="E241" s="518">
        <v>0.5</v>
      </c>
      <c r="F241" s="5">
        <v>37.020000000000003</v>
      </c>
      <c r="G241" s="6">
        <f>ROUND(E241*F241,2)</f>
        <v>18.510000000000002</v>
      </c>
      <c r="H241" s="408">
        <f t="shared" si="7"/>
        <v>1.5306826515913859E-4</v>
      </c>
    </row>
    <row r="242" spans="1:8" ht="18">
      <c r="A242" s="51">
        <v>66</v>
      </c>
      <c r="B242" s="433"/>
      <c r="C242" s="434" t="s">
        <v>346</v>
      </c>
      <c r="D242" s="435"/>
      <c r="E242" s="436"/>
      <c r="F242" s="437"/>
      <c r="G242" s="438">
        <f>SUM(G243:G245)</f>
        <v>582.45999999999992</v>
      </c>
      <c r="H242" s="408">
        <f t="shared" si="7"/>
        <v>4.8166473108909695E-3</v>
      </c>
    </row>
    <row r="243" spans="1:8" ht="36">
      <c r="A243" s="7" t="s">
        <v>558</v>
      </c>
      <c r="B243" s="515">
        <v>88488</v>
      </c>
      <c r="C243" s="516" t="s">
        <v>347</v>
      </c>
      <c r="D243" s="517" t="s">
        <v>0</v>
      </c>
      <c r="E243" s="518">
        <f>18.08</f>
        <v>18.079999999999998</v>
      </c>
      <c r="F243" s="5">
        <v>14.63</v>
      </c>
      <c r="G243" s="6">
        <f>ROUND(E243*F243,2)</f>
        <v>264.51</v>
      </c>
      <c r="H243" s="408">
        <f t="shared" si="7"/>
        <v>2.187362875053687E-3</v>
      </c>
    </row>
    <row r="244" spans="1:8" ht="18">
      <c r="A244" s="7" t="s">
        <v>610</v>
      </c>
      <c r="B244" s="515">
        <v>88495</v>
      </c>
      <c r="C244" s="516" t="s">
        <v>348</v>
      </c>
      <c r="D244" s="517" t="s">
        <v>0</v>
      </c>
      <c r="E244" s="518">
        <f>E245</f>
        <v>13.805999999999999</v>
      </c>
      <c r="F244" s="5">
        <v>10.36</v>
      </c>
      <c r="G244" s="6">
        <f>ROUND(E244*F244,2)</f>
        <v>143.03</v>
      </c>
      <c r="H244" s="408">
        <f t="shared" si="7"/>
        <v>1.1827851953382816E-3</v>
      </c>
    </row>
    <row r="245" spans="1:8" ht="36">
      <c r="A245" s="7" t="s">
        <v>611</v>
      </c>
      <c r="B245" s="515">
        <v>88489</v>
      </c>
      <c r="C245" s="516" t="s">
        <v>6</v>
      </c>
      <c r="D245" s="517" t="s">
        <v>0</v>
      </c>
      <c r="E245" s="518">
        <f>(18.9*0.8)-(0.6*1.8)-(0.3*0.78)</f>
        <v>13.805999999999999</v>
      </c>
      <c r="F245" s="5">
        <v>12.67</v>
      </c>
      <c r="G245" s="6">
        <f>ROUND(E245*F245,2)</f>
        <v>174.92</v>
      </c>
      <c r="H245" s="408">
        <f t="shared" si="7"/>
        <v>1.4464992404990015E-3</v>
      </c>
    </row>
    <row r="246" spans="1:8" ht="18">
      <c r="A246" s="67"/>
      <c r="B246" s="68"/>
      <c r="C246" s="66" t="s">
        <v>349</v>
      </c>
      <c r="D246" s="68"/>
      <c r="E246" s="68"/>
      <c r="F246" s="68"/>
      <c r="G246" s="52">
        <f>SUM(G247,G251)</f>
        <v>1762.74</v>
      </c>
      <c r="H246" s="408">
        <f t="shared" si="7"/>
        <v>1.4576961303437058E-2</v>
      </c>
    </row>
    <row r="247" spans="1:8" ht="18">
      <c r="A247" s="51">
        <v>67</v>
      </c>
      <c r="B247" s="433"/>
      <c r="C247" s="434" t="s">
        <v>350</v>
      </c>
      <c r="D247" s="435"/>
      <c r="E247" s="436"/>
      <c r="F247" s="437"/>
      <c r="G247" s="438">
        <f>SUM(G248:G250)</f>
        <v>1436.69</v>
      </c>
      <c r="H247" s="408">
        <f t="shared" si="7"/>
        <v>1.188069399629837E-2</v>
      </c>
    </row>
    <row r="248" spans="1:8" ht="18">
      <c r="A248" s="7" t="s">
        <v>560</v>
      </c>
      <c r="B248" s="515">
        <v>88495</v>
      </c>
      <c r="C248" s="516" t="s">
        <v>348</v>
      </c>
      <c r="D248" s="517" t="s">
        <v>0</v>
      </c>
      <c r="E248" s="518">
        <f>(15.22*3.77)-(2.51*0.96)</f>
        <v>54.969800000000006</v>
      </c>
      <c r="F248" s="5">
        <v>10.36</v>
      </c>
      <c r="G248" s="6">
        <f>ROUND(E248*F248,2)</f>
        <v>569.49</v>
      </c>
      <c r="H248" s="408">
        <f t="shared" si="7"/>
        <v>4.7093920219058796E-3</v>
      </c>
    </row>
    <row r="249" spans="1:8" ht="36">
      <c r="A249" s="7" t="s">
        <v>559</v>
      </c>
      <c r="B249" s="515">
        <v>88489</v>
      </c>
      <c r="C249" s="516" t="s">
        <v>6</v>
      </c>
      <c r="D249" s="517" t="s">
        <v>0</v>
      </c>
      <c r="E249" s="518">
        <f>E248</f>
        <v>54.969800000000006</v>
      </c>
      <c r="F249" s="5">
        <v>12.67</v>
      </c>
      <c r="G249" s="6">
        <f>ROUND(E249*F249,2)</f>
        <v>696.47</v>
      </c>
      <c r="H249" s="408">
        <f t="shared" si="7"/>
        <v>5.7594518981839687E-3</v>
      </c>
    </row>
    <row r="250" spans="1:8" ht="36">
      <c r="A250" s="7" t="s">
        <v>561</v>
      </c>
      <c r="B250" s="515">
        <v>88488</v>
      </c>
      <c r="C250" s="516" t="s">
        <v>311</v>
      </c>
      <c r="D250" s="517" t="s">
        <v>0</v>
      </c>
      <c r="E250" s="518">
        <v>11.67</v>
      </c>
      <c r="F250" s="5">
        <v>14.63</v>
      </c>
      <c r="G250" s="6">
        <f>ROUND(E250*F250,2)</f>
        <v>170.73</v>
      </c>
      <c r="H250" s="408">
        <f t="shared" si="7"/>
        <v>1.4118500762085213E-3</v>
      </c>
    </row>
    <row r="251" spans="1:8" ht="18">
      <c r="A251" s="51">
        <v>68</v>
      </c>
      <c r="B251" s="433"/>
      <c r="C251" s="434" t="s">
        <v>452</v>
      </c>
      <c r="D251" s="435"/>
      <c r="E251" s="436"/>
      <c r="F251" s="437"/>
      <c r="G251" s="438">
        <f>SUM(G252:G260)</f>
        <v>326.04999999999995</v>
      </c>
      <c r="H251" s="408">
        <f t="shared" si="7"/>
        <v>2.6962673071386886E-3</v>
      </c>
    </row>
    <row r="252" spans="1:8" ht="36">
      <c r="A252" s="588" t="s">
        <v>562</v>
      </c>
      <c r="B252" s="515" t="s">
        <v>614</v>
      </c>
      <c r="C252" s="516" t="s">
        <v>630</v>
      </c>
      <c r="D252" s="517" t="s">
        <v>0</v>
      </c>
      <c r="E252" s="518">
        <f>1*0.2</f>
        <v>0.2</v>
      </c>
      <c r="F252" s="518">
        <v>215.34</v>
      </c>
      <c r="G252" s="520">
        <f t="shared" ref="G252:G260" si="9">ROUND(E252*F252,2)</f>
        <v>43.07</v>
      </c>
      <c r="H252" s="408"/>
    </row>
    <row r="253" spans="1:8" ht="18">
      <c r="A253" s="588" t="s">
        <v>563</v>
      </c>
      <c r="B253" s="515" t="s">
        <v>615</v>
      </c>
      <c r="C253" s="516" t="s">
        <v>631</v>
      </c>
      <c r="D253" s="517" t="s">
        <v>0</v>
      </c>
      <c r="E253" s="518">
        <f>1*0.4</f>
        <v>0.4</v>
      </c>
      <c r="F253" s="518">
        <v>10.76</v>
      </c>
      <c r="G253" s="520">
        <f t="shared" si="9"/>
        <v>4.3</v>
      </c>
      <c r="H253" s="408"/>
    </row>
    <row r="254" spans="1:8" ht="18">
      <c r="A254" s="588" t="s">
        <v>564</v>
      </c>
      <c r="B254" s="515" t="s">
        <v>616</v>
      </c>
      <c r="C254" s="516" t="s">
        <v>632</v>
      </c>
      <c r="D254" s="517" t="s">
        <v>0</v>
      </c>
      <c r="E254" s="518">
        <f>1*0.4</f>
        <v>0.4</v>
      </c>
      <c r="F254" s="518">
        <v>10.89</v>
      </c>
      <c r="G254" s="520">
        <f t="shared" si="9"/>
        <v>4.3600000000000003</v>
      </c>
      <c r="H254" s="408"/>
    </row>
    <row r="255" spans="1:8" ht="54">
      <c r="A255" s="588" t="s">
        <v>647</v>
      </c>
      <c r="B255" s="515" t="s">
        <v>619</v>
      </c>
      <c r="C255" s="516" t="s">
        <v>633</v>
      </c>
      <c r="D255" s="517" t="s">
        <v>613</v>
      </c>
      <c r="E255" s="518">
        <v>2</v>
      </c>
      <c r="F255" s="518">
        <v>15.01</v>
      </c>
      <c r="G255" s="520">
        <f t="shared" si="9"/>
        <v>30.02</v>
      </c>
      <c r="H255" s="408"/>
    </row>
    <row r="256" spans="1:8" ht="54">
      <c r="A256" s="588" t="s">
        <v>648</v>
      </c>
      <c r="B256" s="515">
        <v>92764</v>
      </c>
      <c r="C256" s="516" t="s">
        <v>634</v>
      </c>
      <c r="D256" s="517" t="s">
        <v>613</v>
      </c>
      <c r="E256" s="518">
        <v>2</v>
      </c>
      <c r="F256" s="518">
        <v>11.98</v>
      </c>
      <c r="G256" s="520">
        <f t="shared" si="9"/>
        <v>23.96</v>
      </c>
      <c r="H256" s="408"/>
    </row>
    <row r="257" spans="1:8" ht="72">
      <c r="A257" s="588" t="s">
        <v>649</v>
      </c>
      <c r="B257" s="515" t="s">
        <v>617</v>
      </c>
      <c r="C257" s="516" t="s">
        <v>635</v>
      </c>
      <c r="D257" s="517" t="s">
        <v>613</v>
      </c>
      <c r="E257" s="518">
        <v>1</v>
      </c>
      <c r="F257" s="518">
        <v>69.17</v>
      </c>
      <c r="G257" s="520">
        <f t="shared" si="9"/>
        <v>69.17</v>
      </c>
      <c r="H257" s="408"/>
    </row>
    <row r="258" spans="1:8" ht="36">
      <c r="A258" s="588" t="s">
        <v>650</v>
      </c>
      <c r="B258" s="515" t="s">
        <v>618</v>
      </c>
      <c r="C258" s="516" t="s">
        <v>636</v>
      </c>
      <c r="D258" s="517" t="s">
        <v>0</v>
      </c>
      <c r="E258" s="518">
        <f>1*0.15*2</f>
        <v>0.3</v>
      </c>
      <c r="F258" s="518">
        <v>352.17</v>
      </c>
      <c r="G258" s="520">
        <f t="shared" si="9"/>
        <v>105.65</v>
      </c>
      <c r="H258" s="408"/>
    </row>
    <row r="259" spans="1:8" ht="54">
      <c r="A259" s="588" t="s">
        <v>651</v>
      </c>
      <c r="B259" s="515" t="str">
        <f>COMPOSIÇÕES!D127</f>
        <v>COMPOSIÇÃO 12</v>
      </c>
      <c r="C259" s="516" t="s">
        <v>637</v>
      </c>
      <c r="D259" s="517" t="s">
        <v>5</v>
      </c>
      <c r="E259" s="518">
        <f>0.15*0.15*1</f>
        <v>2.2499999999999999E-2</v>
      </c>
      <c r="F259" s="518">
        <f>COMPOSIÇÕES!H135</f>
        <v>631.48987</v>
      </c>
      <c r="G259" s="520">
        <f t="shared" si="9"/>
        <v>14.21</v>
      </c>
      <c r="H259" s="408"/>
    </row>
    <row r="260" spans="1:8" ht="36">
      <c r="A260" s="588" t="s">
        <v>652</v>
      </c>
      <c r="B260" s="515" t="s">
        <v>638</v>
      </c>
      <c r="C260" s="516" t="s">
        <v>639</v>
      </c>
      <c r="D260" s="517" t="s">
        <v>10</v>
      </c>
      <c r="E260" s="518">
        <v>1</v>
      </c>
      <c r="F260" s="518">
        <v>31.31</v>
      </c>
      <c r="G260" s="520">
        <f t="shared" si="9"/>
        <v>31.31</v>
      </c>
      <c r="H260" s="408"/>
    </row>
    <row r="261" spans="1:8" ht="18.75" thickBot="1">
      <c r="A261" s="444"/>
      <c r="B261" s="444"/>
      <c r="C261" s="445"/>
      <c r="D261" s="446"/>
      <c r="E261" s="447"/>
      <c r="F261" s="447"/>
      <c r="G261" s="448"/>
      <c r="H261" s="408">
        <f t="shared" ref="H261:H269" si="10">G261/$G$269</f>
        <v>0</v>
      </c>
    </row>
    <row r="262" spans="1:8" ht="18.75" thickBot="1">
      <c r="A262" s="462">
        <v>69</v>
      </c>
      <c r="B262" s="455"/>
      <c r="C262" s="455" t="s">
        <v>93</v>
      </c>
      <c r="D262" s="455"/>
      <c r="E262" s="455"/>
      <c r="F262" s="455"/>
      <c r="G262" s="456">
        <f>SUM(G263:G265)</f>
        <v>1571.9</v>
      </c>
      <c r="H262" s="408">
        <f t="shared" si="10"/>
        <v>1.2998811777614801E-2</v>
      </c>
    </row>
    <row r="263" spans="1:8" ht="18">
      <c r="A263" s="453" t="s">
        <v>565</v>
      </c>
      <c r="B263" s="507" t="s">
        <v>351</v>
      </c>
      <c r="C263" s="508" t="s">
        <v>245</v>
      </c>
      <c r="D263" s="509" t="s">
        <v>5</v>
      </c>
      <c r="E263" s="510">
        <v>12</v>
      </c>
      <c r="F263" s="567">
        <v>14.19</v>
      </c>
      <c r="G263" s="454">
        <f>ROUND(E263*F263,2)</f>
        <v>170.28</v>
      </c>
      <c r="H263" s="408">
        <f t="shared" si="10"/>
        <v>1.4081288055806656E-3</v>
      </c>
    </row>
    <row r="264" spans="1:8" ht="36">
      <c r="A264" s="53" t="s">
        <v>601</v>
      </c>
      <c r="B264" s="511">
        <v>97914</v>
      </c>
      <c r="C264" s="512" t="s">
        <v>95</v>
      </c>
      <c r="D264" s="513" t="s">
        <v>96</v>
      </c>
      <c r="E264" s="514">
        <f>E263*20</f>
        <v>240</v>
      </c>
      <c r="F264" s="568">
        <v>2.41</v>
      </c>
      <c r="G264" s="54">
        <f>ROUND(E264*F264,2)</f>
        <v>578.4</v>
      </c>
      <c r="H264" s="408">
        <f t="shared" si="10"/>
        <v>4.7830731803374261E-3</v>
      </c>
    </row>
    <row r="265" spans="1:8" ht="18">
      <c r="A265" s="53" t="s">
        <v>612</v>
      </c>
      <c r="B265" s="511" t="s">
        <v>97</v>
      </c>
      <c r="C265" s="512" t="s">
        <v>98</v>
      </c>
      <c r="D265" s="513" t="s">
        <v>0</v>
      </c>
      <c r="E265" s="514">
        <f>210.65+188.97</f>
        <v>399.62</v>
      </c>
      <c r="F265" s="568">
        <v>2.06</v>
      </c>
      <c r="G265" s="54">
        <f>ROUND(E265*F265,2)</f>
        <v>823.22</v>
      </c>
      <c r="H265" s="408">
        <f t="shared" si="10"/>
        <v>6.8076097916967082E-3</v>
      </c>
    </row>
    <row r="266" spans="1:8" ht="18.75" thickBot="1">
      <c r="A266" s="444"/>
      <c r="B266" s="444"/>
      <c r="C266" s="445"/>
      <c r="D266" s="446"/>
      <c r="E266" s="447"/>
      <c r="F266" s="447"/>
      <c r="G266" s="448"/>
      <c r="H266" s="408">
        <f t="shared" si="10"/>
        <v>0</v>
      </c>
    </row>
    <row r="267" spans="1:8" ht="21" thickBot="1">
      <c r="A267" s="591"/>
      <c r="B267" s="592"/>
      <c r="C267" s="428"/>
      <c r="D267" s="429"/>
      <c r="E267" s="430"/>
      <c r="F267" s="431" t="s">
        <v>30</v>
      </c>
      <c r="G267" s="458">
        <f>G10+G15+G164+G262</f>
        <v>96741.15</v>
      </c>
      <c r="H267" s="408">
        <f t="shared" si="10"/>
        <v>0.79999999999999993</v>
      </c>
    </row>
    <row r="268" spans="1:8" ht="21" thickBot="1">
      <c r="A268" s="26"/>
      <c r="B268" s="27"/>
      <c r="C268" s="28"/>
      <c r="D268" s="29"/>
      <c r="E268" s="30" t="s">
        <v>31</v>
      </c>
      <c r="F268" s="31">
        <v>0.25</v>
      </c>
      <c r="G268" s="457">
        <f>G267*F268</f>
        <v>24185.287499999999</v>
      </c>
      <c r="H268" s="408">
        <f t="shared" si="10"/>
        <v>0.19999999999999998</v>
      </c>
    </row>
    <row r="269" spans="1:8" ht="21" thickBot="1">
      <c r="A269" s="459"/>
      <c r="B269" s="460"/>
      <c r="C269" s="428"/>
      <c r="D269" s="429"/>
      <c r="E269" s="430"/>
      <c r="F269" s="431" t="s">
        <v>32</v>
      </c>
      <c r="G269" s="412">
        <f>G267+G268</f>
        <v>120926.4375</v>
      </c>
      <c r="H269" s="408">
        <f t="shared" si="10"/>
        <v>1</v>
      </c>
    </row>
    <row r="270" spans="1:8">
      <c r="A270" s="32"/>
      <c r="B270" s="33"/>
      <c r="C270" s="34"/>
      <c r="D270" s="35"/>
      <c r="E270" s="36"/>
      <c r="F270" s="37"/>
      <c r="G270" s="38"/>
    </row>
    <row r="271" spans="1:8" ht="18.75">
      <c r="A271" s="601" t="s">
        <v>33</v>
      </c>
      <c r="B271" s="602"/>
      <c r="C271" s="602"/>
      <c r="D271" s="602"/>
      <c r="E271" s="602"/>
      <c r="F271" s="602"/>
      <c r="G271" s="603"/>
    </row>
    <row r="272" spans="1:8" ht="18.75" customHeight="1">
      <c r="A272" s="604" t="s">
        <v>416</v>
      </c>
      <c r="B272" s="605"/>
      <c r="C272" s="605"/>
      <c r="D272" s="605"/>
      <c r="E272" s="605"/>
      <c r="F272" s="605"/>
      <c r="G272" s="606"/>
    </row>
    <row r="273" spans="1:7" ht="18.75" customHeight="1">
      <c r="A273" s="604" t="s">
        <v>40</v>
      </c>
      <c r="B273" s="605"/>
      <c r="C273" s="605"/>
      <c r="D273" s="605"/>
      <c r="E273" s="605"/>
      <c r="F273" s="605"/>
      <c r="G273" s="606"/>
    </row>
    <row r="274" spans="1:7" ht="18.75" customHeight="1">
      <c r="A274" s="604" t="s">
        <v>566</v>
      </c>
      <c r="B274" s="605"/>
      <c r="C274" s="605"/>
      <c r="D274" s="605"/>
      <c r="E274" s="605"/>
      <c r="F274" s="605"/>
      <c r="G274" s="606"/>
    </row>
    <row r="275" spans="1:7" ht="18.75" customHeight="1">
      <c r="A275" s="597" t="s">
        <v>567</v>
      </c>
      <c r="B275" s="598"/>
      <c r="C275" s="598"/>
      <c r="D275" s="598"/>
      <c r="E275" s="598"/>
      <c r="F275" s="598"/>
      <c r="G275" s="599"/>
    </row>
    <row r="276" spans="1:7" ht="19.5" thickBot="1">
      <c r="A276" s="608"/>
      <c r="B276" s="609"/>
      <c r="C276" s="609"/>
      <c r="D276" s="609"/>
      <c r="E276" s="609"/>
      <c r="F276" s="609"/>
      <c r="G276" s="610"/>
    </row>
    <row r="277" spans="1:7" ht="18">
      <c r="A277" s="595"/>
      <c r="B277" s="595"/>
      <c r="C277" s="595"/>
      <c r="D277" s="607" t="s">
        <v>653</v>
      </c>
      <c r="E277" s="607"/>
      <c r="F277" s="607"/>
      <c r="G277" s="40"/>
    </row>
    <row r="278" spans="1:7" ht="18">
      <c r="A278" s="596"/>
      <c r="B278" s="596"/>
      <c r="C278" s="596"/>
      <c r="D278" s="42"/>
      <c r="E278" s="49"/>
      <c r="F278" s="43"/>
      <c r="G278" s="43"/>
    </row>
    <row r="279" spans="1:7" ht="18">
      <c r="A279" s="503"/>
      <c r="B279" s="503"/>
      <c r="C279" s="502"/>
      <c r="D279" s="42"/>
      <c r="E279" s="49"/>
      <c r="F279" s="43"/>
      <c r="G279" s="43"/>
    </row>
    <row r="280" spans="1:7" ht="18">
      <c r="A280" s="503"/>
      <c r="B280" s="503"/>
      <c r="C280" s="502"/>
      <c r="D280" s="48"/>
      <c r="E280" s="44" t="s">
        <v>34</v>
      </c>
      <c r="F280" s="45"/>
      <c r="G280" s="43"/>
    </row>
    <row r="281" spans="1:7">
      <c r="A281" s="41"/>
      <c r="B281" s="41"/>
      <c r="C281" s="39"/>
      <c r="D281" s="600" t="s">
        <v>35</v>
      </c>
      <c r="E281" s="600"/>
      <c r="F281" s="600"/>
      <c r="G281" s="43"/>
    </row>
    <row r="282" spans="1:7">
      <c r="A282" s="41"/>
      <c r="B282" s="41"/>
      <c r="C282" s="39"/>
      <c r="D282" s="600" t="s">
        <v>67</v>
      </c>
      <c r="E282" s="600"/>
      <c r="F282" s="600"/>
      <c r="G282" s="43"/>
    </row>
    <row r="283" spans="1:7">
      <c r="A283" s="41"/>
      <c r="B283" s="41"/>
      <c r="C283" s="39"/>
      <c r="D283" s="600" t="s">
        <v>36</v>
      </c>
      <c r="E283" s="600"/>
      <c r="F283" s="600"/>
      <c r="G283" s="43"/>
    </row>
    <row r="284" spans="1:7">
      <c r="A284" s="41"/>
      <c r="B284" s="41"/>
      <c r="C284" s="39"/>
      <c r="D284" s="42"/>
      <c r="E284" s="49"/>
      <c r="F284" s="43"/>
      <c r="G284" s="43"/>
    </row>
    <row r="285" spans="1:7">
      <c r="A285" s="41"/>
      <c r="B285" s="41"/>
      <c r="C285" s="39"/>
      <c r="D285" s="42"/>
      <c r="E285" s="49"/>
      <c r="F285" s="43"/>
      <c r="G285" s="43"/>
    </row>
    <row r="286" spans="1:7" ht="18">
      <c r="A286" s="41"/>
      <c r="B286" s="41"/>
      <c r="C286" s="39"/>
      <c r="D286" s="611" t="s">
        <v>37</v>
      </c>
      <c r="E286" s="611"/>
      <c r="F286" s="611"/>
      <c r="G286" s="43"/>
    </row>
    <row r="287" spans="1:7">
      <c r="A287" s="41"/>
      <c r="B287" s="41"/>
      <c r="C287" s="39"/>
      <c r="D287" s="600" t="s">
        <v>38</v>
      </c>
      <c r="E287" s="600"/>
      <c r="F287" s="600"/>
      <c r="G287" s="43"/>
    </row>
    <row r="288" spans="1:7">
      <c r="A288" s="41"/>
      <c r="B288" s="41"/>
      <c r="C288" s="39"/>
      <c r="D288" s="600" t="s">
        <v>39</v>
      </c>
      <c r="E288" s="600"/>
      <c r="F288" s="600"/>
      <c r="G288" s="43"/>
    </row>
    <row r="289" spans="1:7">
      <c r="A289" s="41"/>
      <c r="B289" s="41"/>
      <c r="C289" s="39"/>
      <c r="D289" s="600" t="s">
        <v>36</v>
      </c>
      <c r="E289" s="600"/>
      <c r="F289" s="600"/>
      <c r="G289" s="43"/>
    </row>
  </sheetData>
  <mergeCells count="29">
    <mergeCell ref="A1:E1"/>
    <mergeCell ref="A2:E2"/>
    <mergeCell ref="A7:C7"/>
    <mergeCell ref="A8:G8"/>
    <mergeCell ref="A6:C6"/>
    <mergeCell ref="D6:E6"/>
    <mergeCell ref="A3:E3"/>
    <mergeCell ref="D4:E4"/>
    <mergeCell ref="A5:C5"/>
    <mergeCell ref="D5:E5"/>
    <mergeCell ref="D288:F288"/>
    <mergeCell ref="D289:F289"/>
    <mergeCell ref="A271:G271"/>
    <mergeCell ref="A272:G272"/>
    <mergeCell ref="A273:G273"/>
    <mergeCell ref="A274:G274"/>
    <mergeCell ref="D281:F281"/>
    <mergeCell ref="D282:F282"/>
    <mergeCell ref="D283:F283"/>
    <mergeCell ref="D277:F277"/>
    <mergeCell ref="A276:G276"/>
    <mergeCell ref="D287:F287"/>
    <mergeCell ref="D286:F286"/>
    <mergeCell ref="A15:B15"/>
    <mergeCell ref="A267:B267"/>
    <mergeCell ref="A164:B164"/>
    <mergeCell ref="A277:C277"/>
    <mergeCell ref="A278:C278"/>
    <mergeCell ref="A275:G275"/>
  </mergeCells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ignoredErrors>
    <ignoredError sqref="G143 G149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35"/>
  <sheetViews>
    <sheetView workbookViewId="0">
      <selection activeCell="E7" sqref="E7:F7"/>
    </sheetView>
  </sheetViews>
  <sheetFormatPr defaultRowHeight="15"/>
  <cols>
    <col min="1" max="1" width="6.85546875" customWidth="1"/>
    <col min="2" max="2" width="15.5703125" customWidth="1"/>
    <col min="3" max="3" width="21.7109375" customWidth="1"/>
    <col min="4" max="4" width="56.85546875" customWidth="1"/>
    <col min="5" max="5" width="9.5703125" customWidth="1"/>
    <col min="6" max="6" width="11" customWidth="1"/>
    <col min="7" max="7" width="9" customWidth="1"/>
    <col min="8" max="8" width="11.7109375" bestFit="1" customWidth="1"/>
    <col min="256" max="256" width="6.85546875" customWidth="1"/>
    <col min="257" max="257" width="12.42578125" bestFit="1" customWidth="1"/>
    <col min="258" max="258" width="12.5703125" bestFit="1" customWidth="1"/>
    <col min="259" max="259" width="55.140625" bestFit="1" customWidth="1"/>
    <col min="260" max="260" width="6" bestFit="1" customWidth="1"/>
    <col min="261" max="262" width="7.85546875" bestFit="1" customWidth="1"/>
    <col min="263" max="263" width="10.140625" bestFit="1" customWidth="1"/>
    <col min="512" max="512" width="6.85546875" customWidth="1"/>
    <col min="513" max="513" width="12.42578125" bestFit="1" customWidth="1"/>
    <col min="514" max="514" width="12.5703125" bestFit="1" customWidth="1"/>
    <col min="515" max="515" width="55.140625" bestFit="1" customWidth="1"/>
    <col min="516" max="516" width="6" bestFit="1" customWidth="1"/>
    <col min="517" max="518" width="7.85546875" bestFit="1" customWidth="1"/>
    <col min="519" max="519" width="10.140625" bestFit="1" customWidth="1"/>
    <col min="768" max="768" width="6.85546875" customWidth="1"/>
    <col min="769" max="769" width="12.42578125" bestFit="1" customWidth="1"/>
    <col min="770" max="770" width="12.5703125" bestFit="1" customWidth="1"/>
    <col min="771" max="771" width="55.140625" bestFit="1" customWidth="1"/>
    <col min="772" max="772" width="6" bestFit="1" customWidth="1"/>
    <col min="773" max="774" width="7.85546875" bestFit="1" customWidth="1"/>
    <col min="775" max="775" width="10.140625" bestFit="1" customWidth="1"/>
    <col min="1024" max="1024" width="6.85546875" customWidth="1"/>
    <col min="1025" max="1025" width="12.42578125" bestFit="1" customWidth="1"/>
    <col min="1026" max="1026" width="12.5703125" bestFit="1" customWidth="1"/>
    <col min="1027" max="1027" width="55.140625" bestFit="1" customWidth="1"/>
    <col min="1028" max="1028" width="6" bestFit="1" customWidth="1"/>
    <col min="1029" max="1030" width="7.85546875" bestFit="1" customWidth="1"/>
    <col min="1031" max="1031" width="10.140625" bestFit="1" customWidth="1"/>
    <col min="1280" max="1280" width="6.85546875" customWidth="1"/>
    <col min="1281" max="1281" width="12.42578125" bestFit="1" customWidth="1"/>
    <col min="1282" max="1282" width="12.5703125" bestFit="1" customWidth="1"/>
    <col min="1283" max="1283" width="55.140625" bestFit="1" customWidth="1"/>
    <col min="1284" max="1284" width="6" bestFit="1" customWidth="1"/>
    <col min="1285" max="1286" width="7.85546875" bestFit="1" customWidth="1"/>
    <col min="1287" max="1287" width="10.140625" bestFit="1" customWidth="1"/>
    <col min="1536" max="1536" width="6.85546875" customWidth="1"/>
    <col min="1537" max="1537" width="12.42578125" bestFit="1" customWidth="1"/>
    <col min="1538" max="1538" width="12.5703125" bestFit="1" customWidth="1"/>
    <col min="1539" max="1539" width="55.140625" bestFit="1" customWidth="1"/>
    <col min="1540" max="1540" width="6" bestFit="1" customWidth="1"/>
    <col min="1541" max="1542" width="7.85546875" bestFit="1" customWidth="1"/>
    <col min="1543" max="1543" width="10.140625" bestFit="1" customWidth="1"/>
    <col min="1792" max="1792" width="6.85546875" customWidth="1"/>
    <col min="1793" max="1793" width="12.42578125" bestFit="1" customWidth="1"/>
    <col min="1794" max="1794" width="12.5703125" bestFit="1" customWidth="1"/>
    <col min="1795" max="1795" width="55.140625" bestFit="1" customWidth="1"/>
    <col min="1796" max="1796" width="6" bestFit="1" customWidth="1"/>
    <col min="1797" max="1798" width="7.85546875" bestFit="1" customWidth="1"/>
    <col min="1799" max="1799" width="10.140625" bestFit="1" customWidth="1"/>
    <col min="2048" max="2048" width="6.85546875" customWidth="1"/>
    <col min="2049" max="2049" width="12.42578125" bestFit="1" customWidth="1"/>
    <col min="2050" max="2050" width="12.5703125" bestFit="1" customWidth="1"/>
    <col min="2051" max="2051" width="55.140625" bestFit="1" customWidth="1"/>
    <col min="2052" max="2052" width="6" bestFit="1" customWidth="1"/>
    <col min="2053" max="2054" width="7.85546875" bestFit="1" customWidth="1"/>
    <col min="2055" max="2055" width="10.140625" bestFit="1" customWidth="1"/>
    <col min="2304" max="2304" width="6.85546875" customWidth="1"/>
    <col min="2305" max="2305" width="12.42578125" bestFit="1" customWidth="1"/>
    <col min="2306" max="2306" width="12.5703125" bestFit="1" customWidth="1"/>
    <col min="2307" max="2307" width="55.140625" bestFit="1" customWidth="1"/>
    <col min="2308" max="2308" width="6" bestFit="1" customWidth="1"/>
    <col min="2309" max="2310" width="7.85546875" bestFit="1" customWidth="1"/>
    <col min="2311" max="2311" width="10.140625" bestFit="1" customWidth="1"/>
    <col min="2560" max="2560" width="6.85546875" customWidth="1"/>
    <col min="2561" max="2561" width="12.42578125" bestFit="1" customWidth="1"/>
    <col min="2562" max="2562" width="12.5703125" bestFit="1" customWidth="1"/>
    <col min="2563" max="2563" width="55.140625" bestFit="1" customWidth="1"/>
    <col min="2564" max="2564" width="6" bestFit="1" customWidth="1"/>
    <col min="2565" max="2566" width="7.85546875" bestFit="1" customWidth="1"/>
    <col min="2567" max="2567" width="10.140625" bestFit="1" customWidth="1"/>
    <col min="2816" max="2816" width="6.85546875" customWidth="1"/>
    <col min="2817" max="2817" width="12.42578125" bestFit="1" customWidth="1"/>
    <col min="2818" max="2818" width="12.5703125" bestFit="1" customWidth="1"/>
    <col min="2819" max="2819" width="55.140625" bestFit="1" customWidth="1"/>
    <col min="2820" max="2820" width="6" bestFit="1" customWidth="1"/>
    <col min="2821" max="2822" width="7.85546875" bestFit="1" customWidth="1"/>
    <col min="2823" max="2823" width="10.140625" bestFit="1" customWidth="1"/>
    <col min="3072" max="3072" width="6.85546875" customWidth="1"/>
    <col min="3073" max="3073" width="12.42578125" bestFit="1" customWidth="1"/>
    <col min="3074" max="3074" width="12.5703125" bestFit="1" customWidth="1"/>
    <col min="3075" max="3075" width="55.140625" bestFit="1" customWidth="1"/>
    <col min="3076" max="3076" width="6" bestFit="1" customWidth="1"/>
    <col min="3077" max="3078" width="7.85546875" bestFit="1" customWidth="1"/>
    <col min="3079" max="3079" width="10.140625" bestFit="1" customWidth="1"/>
    <col min="3328" max="3328" width="6.85546875" customWidth="1"/>
    <col min="3329" max="3329" width="12.42578125" bestFit="1" customWidth="1"/>
    <col min="3330" max="3330" width="12.5703125" bestFit="1" customWidth="1"/>
    <col min="3331" max="3331" width="55.140625" bestFit="1" customWidth="1"/>
    <col min="3332" max="3332" width="6" bestFit="1" customWidth="1"/>
    <col min="3333" max="3334" width="7.85546875" bestFit="1" customWidth="1"/>
    <col min="3335" max="3335" width="10.140625" bestFit="1" customWidth="1"/>
    <col min="3584" max="3584" width="6.85546875" customWidth="1"/>
    <col min="3585" max="3585" width="12.42578125" bestFit="1" customWidth="1"/>
    <col min="3586" max="3586" width="12.5703125" bestFit="1" customWidth="1"/>
    <col min="3587" max="3587" width="55.140625" bestFit="1" customWidth="1"/>
    <col min="3588" max="3588" width="6" bestFit="1" customWidth="1"/>
    <col min="3589" max="3590" width="7.85546875" bestFit="1" customWidth="1"/>
    <col min="3591" max="3591" width="10.140625" bestFit="1" customWidth="1"/>
    <col min="3840" max="3840" width="6.85546875" customWidth="1"/>
    <col min="3841" max="3841" width="12.42578125" bestFit="1" customWidth="1"/>
    <col min="3842" max="3842" width="12.5703125" bestFit="1" customWidth="1"/>
    <col min="3843" max="3843" width="55.140625" bestFit="1" customWidth="1"/>
    <col min="3844" max="3844" width="6" bestFit="1" customWidth="1"/>
    <col min="3845" max="3846" width="7.85546875" bestFit="1" customWidth="1"/>
    <col min="3847" max="3847" width="10.140625" bestFit="1" customWidth="1"/>
    <col min="4096" max="4096" width="6.85546875" customWidth="1"/>
    <col min="4097" max="4097" width="12.42578125" bestFit="1" customWidth="1"/>
    <col min="4098" max="4098" width="12.5703125" bestFit="1" customWidth="1"/>
    <col min="4099" max="4099" width="55.140625" bestFit="1" customWidth="1"/>
    <col min="4100" max="4100" width="6" bestFit="1" customWidth="1"/>
    <col min="4101" max="4102" width="7.85546875" bestFit="1" customWidth="1"/>
    <col min="4103" max="4103" width="10.140625" bestFit="1" customWidth="1"/>
    <col min="4352" max="4352" width="6.85546875" customWidth="1"/>
    <col min="4353" max="4353" width="12.42578125" bestFit="1" customWidth="1"/>
    <col min="4354" max="4354" width="12.5703125" bestFit="1" customWidth="1"/>
    <col min="4355" max="4355" width="55.140625" bestFit="1" customWidth="1"/>
    <col min="4356" max="4356" width="6" bestFit="1" customWidth="1"/>
    <col min="4357" max="4358" width="7.85546875" bestFit="1" customWidth="1"/>
    <col min="4359" max="4359" width="10.140625" bestFit="1" customWidth="1"/>
    <col min="4608" max="4608" width="6.85546875" customWidth="1"/>
    <col min="4609" max="4609" width="12.42578125" bestFit="1" customWidth="1"/>
    <col min="4610" max="4610" width="12.5703125" bestFit="1" customWidth="1"/>
    <col min="4611" max="4611" width="55.140625" bestFit="1" customWidth="1"/>
    <col min="4612" max="4612" width="6" bestFit="1" customWidth="1"/>
    <col min="4613" max="4614" width="7.85546875" bestFit="1" customWidth="1"/>
    <col min="4615" max="4615" width="10.140625" bestFit="1" customWidth="1"/>
    <col min="4864" max="4864" width="6.85546875" customWidth="1"/>
    <col min="4865" max="4865" width="12.42578125" bestFit="1" customWidth="1"/>
    <col min="4866" max="4866" width="12.5703125" bestFit="1" customWidth="1"/>
    <col min="4867" max="4867" width="55.140625" bestFit="1" customWidth="1"/>
    <col min="4868" max="4868" width="6" bestFit="1" customWidth="1"/>
    <col min="4869" max="4870" width="7.85546875" bestFit="1" customWidth="1"/>
    <col min="4871" max="4871" width="10.140625" bestFit="1" customWidth="1"/>
    <col min="5120" max="5120" width="6.85546875" customWidth="1"/>
    <col min="5121" max="5121" width="12.42578125" bestFit="1" customWidth="1"/>
    <col min="5122" max="5122" width="12.5703125" bestFit="1" customWidth="1"/>
    <col min="5123" max="5123" width="55.140625" bestFit="1" customWidth="1"/>
    <col min="5124" max="5124" width="6" bestFit="1" customWidth="1"/>
    <col min="5125" max="5126" width="7.85546875" bestFit="1" customWidth="1"/>
    <col min="5127" max="5127" width="10.140625" bestFit="1" customWidth="1"/>
    <col min="5376" max="5376" width="6.85546875" customWidth="1"/>
    <col min="5377" max="5377" width="12.42578125" bestFit="1" customWidth="1"/>
    <col min="5378" max="5378" width="12.5703125" bestFit="1" customWidth="1"/>
    <col min="5379" max="5379" width="55.140625" bestFit="1" customWidth="1"/>
    <col min="5380" max="5380" width="6" bestFit="1" customWidth="1"/>
    <col min="5381" max="5382" width="7.85546875" bestFit="1" customWidth="1"/>
    <col min="5383" max="5383" width="10.140625" bestFit="1" customWidth="1"/>
    <col min="5632" max="5632" width="6.85546875" customWidth="1"/>
    <col min="5633" max="5633" width="12.42578125" bestFit="1" customWidth="1"/>
    <col min="5634" max="5634" width="12.5703125" bestFit="1" customWidth="1"/>
    <col min="5635" max="5635" width="55.140625" bestFit="1" customWidth="1"/>
    <col min="5636" max="5636" width="6" bestFit="1" customWidth="1"/>
    <col min="5637" max="5638" width="7.85546875" bestFit="1" customWidth="1"/>
    <col min="5639" max="5639" width="10.140625" bestFit="1" customWidth="1"/>
    <col min="5888" max="5888" width="6.85546875" customWidth="1"/>
    <col min="5889" max="5889" width="12.42578125" bestFit="1" customWidth="1"/>
    <col min="5890" max="5890" width="12.5703125" bestFit="1" customWidth="1"/>
    <col min="5891" max="5891" width="55.140625" bestFit="1" customWidth="1"/>
    <col min="5892" max="5892" width="6" bestFit="1" customWidth="1"/>
    <col min="5893" max="5894" width="7.85546875" bestFit="1" customWidth="1"/>
    <col min="5895" max="5895" width="10.140625" bestFit="1" customWidth="1"/>
    <col min="6144" max="6144" width="6.85546875" customWidth="1"/>
    <col min="6145" max="6145" width="12.42578125" bestFit="1" customWidth="1"/>
    <col min="6146" max="6146" width="12.5703125" bestFit="1" customWidth="1"/>
    <col min="6147" max="6147" width="55.140625" bestFit="1" customWidth="1"/>
    <col min="6148" max="6148" width="6" bestFit="1" customWidth="1"/>
    <col min="6149" max="6150" width="7.85546875" bestFit="1" customWidth="1"/>
    <col min="6151" max="6151" width="10.140625" bestFit="1" customWidth="1"/>
    <col min="6400" max="6400" width="6.85546875" customWidth="1"/>
    <col min="6401" max="6401" width="12.42578125" bestFit="1" customWidth="1"/>
    <col min="6402" max="6402" width="12.5703125" bestFit="1" customWidth="1"/>
    <col min="6403" max="6403" width="55.140625" bestFit="1" customWidth="1"/>
    <col min="6404" max="6404" width="6" bestFit="1" customWidth="1"/>
    <col min="6405" max="6406" width="7.85546875" bestFit="1" customWidth="1"/>
    <col min="6407" max="6407" width="10.140625" bestFit="1" customWidth="1"/>
    <col min="6656" max="6656" width="6.85546875" customWidth="1"/>
    <col min="6657" max="6657" width="12.42578125" bestFit="1" customWidth="1"/>
    <col min="6658" max="6658" width="12.5703125" bestFit="1" customWidth="1"/>
    <col min="6659" max="6659" width="55.140625" bestFit="1" customWidth="1"/>
    <col min="6660" max="6660" width="6" bestFit="1" customWidth="1"/>
    <col min="6661" max="6662" width="7.85546875" bestFit="1" customWidth="1"/>
    <col min="6663" max="6663" width="10.140625" bestFit="1" customWidth="1"/>
    <col min="6912" max="6912" width="6.85546875" customWidth="1"/>
    <col min="6913" max="6913" width="12.42578125" bestFit="1" customWidth="1"/>
    <col min="6914" max="6914" width="12.5703125" bestFit="1" customWidth="1"/>
    <col min="6915" max="6915" width="55.140625" bestFit="1" customWidth="1"/>
    <col min="6916" max="6916" width="6" bestFit="1" customWidth="1"/>
    <col min="6917" max="6918" width="7.85546875" bestFit="1" customWidth="1"/>
    <col min="6919" max="6919" width="10.140625" bestFit="1" customWidth="1"/>
    <col min="7168" max="7168" width="6.85546875" customWidth="1"/>
    <col min="7169" max="7169" width="12.42578125" bestFit="1" customWidth="1"/>
    <col min="7170" max="7170" width="12.5703125" bestFit="1" customWidth="1"/>
    <col min="7171" max="7171" width="55.140625" bestFit="1" customWidth="1"/>
    <col min="7172" max="7172" width="6" bestFit="1" customWidth="1"/>
    <col min="7173" max="7174" width="7.85546875" bestFit="1" customWidth="1"/>
    <col min="7175" max="7175" width="10.140625" bestFit="1" customWidth="1"/>
    <col min="7424" max="7424" width="6.85546875" customWidth="1"/>
    <col min="7425" max="7425" width="12.42578125" bestFit="1" customWidth="1"/>
    <col min="7426" max="7426" width="12.5703125" bestFit="1" customWidth="1"/>
    <col min="7427" max="7427" width="55.140625" bestFit="1" customWidth="1"/>
    <col min="7428" max="7428" width="6" bestFit="1" customWidth="1"/>
    <col min="7429" max="7430" width="7.85546875" bestFit="1" customWidth="1"/>
    <col min="7431" max="7431" width="10.140625" bestFit="1" customWidth="1"/>
    <col min="7680" max="7680" width="6.85546875" customWidth="1"/>
    <col min="7681" max="7681" width="12.42578125" bestFit="1" customWidth="1"/>
    <col min="7682" max="7682" width="12.5703125" bestFit="1" customWidth="1"/>
    <col min="7683" max="7683" width="55.140625" bestFit="1" customWidth="1"/>
    <col min="7684" max="7684" width="6" bestFit="1" customWidth="1"/>
    <col min="7685" max="7686" width="7.85546875" bestFit="1" customWidth="1"/>
    <col min="7687" max="7687" width="10.140625" bestFit="1" customWidth="1"/>
    <col min="7936" max="7936" width="6.85546875" customWidth="1"/>
    <col min="7937" max="7937" width="12.42578125" bestFit="1" customWidth="1"/>
    <col min="7938" max="7938" width="12.5703125" bestFit="1" customWidth="1"/>
    <col min="7939" max="7939" width="55.140625" bestFit="1" customWidth="1"/>
    <col min="7940" max="7940" width="6" bestFit="1" customWidth="1"/>
    <col min="7941" max="7942" width="7.85546875" bestFit="1" customWidth="1"/>
    <col min="7943" max="7943" width="10.140625" bestFit="1" customWidth="1"/>
    <col min="8192" max="8192" width="6.85546875" customWidth="1"/>
    <col min="8193" max="8193" width="12.42578125" bestFit="1" customWidth="1"/>
    <col min="8194" max="8194" width="12.5703125" bestFit="1" customWidth="1"/>
    <col min="8195" max="8195" width="55.140625" bestFit="1" customWidth="1"/>
    <col min="8196" max="8196" width="6" bestFit="1" customWidth="1"/>
    <col min="8197" max="8198" width="7.85546875" bestFit="1" customWidth="1"/>
    <col min="8199" max="8199" width="10.140625" bestFit="1" customWidth="1"/>
    <col min="8448" max="8448" width="6.85546875" customWidth="1"/>
    <col min="8449" max="8449" width="12.42578125" bestFit="1" customWidth="1"/>
    <col min="8450" max="8450" width="12.5703125" bestFit="1" customWidth="1"/>
    <col min="8451" max="8451" width="55.140625" bestFit="1" customWidth="1"/>
    <col min="8452" max="8452" width="6" bestFit="1" customWidth="1"/>
    <col min="8453" max="8454" width="7.85546875" bestFit="1" customWidth="1"/>
    <col min="8455" max="8455" width="10.140625" bestFit="1" customWidth="1"/>
    <col min="8704" max="8704" width="6.85546875" customWidth="1"/>
    <col min="8705" max="8705" width="12.42578125" bestFit="1" customWidth="1"/>
    <col min="8706" max="8706" width="12.5703125" bestFit="1" customWidth="1"/>
    <col min="8707" max="8707" width="55.140625" bestFit="1" customWidth="1"/>
    <col min="8708" max="8708" width="6" bestFit="1" customWidth="1"/>
    <col min="8709" max="8710" width="7.85546875" bestFit="1" customWidth="1"/>
    <col min="8711" max="8711" width="10.140625" bestFit="1" customWidth="1"/>
    <col min="8960" max="8960" width="6.85546875" customWidth="1"/>
    <col min="8961" max="8961" width="12.42578125" bestFit="1" customWidth="1"/>
    <col min="8962" max="8962" width="12.5703125" bestFit="1" customWidth="1"/>
    <col min="8963" max="8963" width="55.140625" bestFit="1" customWidth="1"/>
    <col min="8964" max="8964" width="6" bestFit="1" customWidth="1"/>
    <col min="8965" max="8966" width="7.85546875" bestFit="1" customWidth="1"/>
    <col min="8967" max="8967" width="10.140625" bestFit="1" customWidth="1"/>
    <col min="9216" max="9216" width="6.85546875" customWidth="1"/>
    <col min="9217" max="9217" width="12.42578125" bestFit="1" customWidth="1"/>
    <col min="9218" max="9218" width="12.5703125" bestFit="1" customWidth="1"/>
    <col min="9219" max="9219" width="55.140625" bestFit="1" customWidth="1"/>
    <col min="9220" max="9220" width="6" bestFit="1" customWidth="1"/>
    <col min="9221" max="9222" width="7.85546875" bestFit="1" customWidth="1"/>
    <col min="9223" max="9223" width="10.140625" bestFit="1" customWidth="1"/>
    <col min="9472" max="9472" width="6.85546875" customWidth="1"/>
    <col min="9473" max="9473" width="12.42578125" bestFit="1" customWidth="1"/>
    <col min="9474" max="9474" width="12.5703125" bestFit="1" customWidth="1"/>
    <col min="9475" max="9475" width="55.140625" bestFit="1" customWidth="1"/>
    <col min="9476" max="9476" width="6" bestFit="1" customWidth="1"/>
    <col min="9477" max="9478" width="7.85546875" bestFit="1" customWidth="1"/>
    <col min="9479" max="9479" width="10.140625" bestFit="1" customWidth="1"/>
    <col min="9728" max="9728" width="6.85546875" customWidth="1"/>
    <col min="9729" max="9729" width="12.42578125" bestFit="1" customWidth="1"/>
    <col min="9730" max="9730" width="12.5703125" bestFit="1" customWidth="1"/>
    <col min="9731" max="9731" width="55.140625" bestFit="1" customWidth="1"/>
    <col min="9732" max="9732" width="6" bestFit="1" customWidth="1"/>
    <col min="9733" max="9734" width="7.85546875" bestFit="1" customWidth="1"/>
    <col min="9735" max="9735" width="10.140625" bestFit="1" customWidth="1"/>
    <col min="9984" max="9984" width="6.85546875" customWidth="1"/>
    <col min="9985" max="9985" width="12.42578125" bestFit="1" customWidth="1"/>
    <col min="9986" max="9986" width="12.5703125" bestFit="1" customWidth="1"/>
    <col min="9987" max="9987" width="55.140625" bestFit="1" customWidth="1"/>
    <col min="9988" max="9988" width="6" bestFit="1" customWidth="1"/>
    <col min="9989" max="9990" width="7.85546875" bestFit="1" customWidth="1"/>
    <col min="9991" max="9991" width="10.140625" bestFit="1" customWidth="1"/>
    <col min="10240" max="10240" width="6.85546875" customWidth="1"/>
    <col min="10241" max="10241" width="12.42578125" bestFit="1" customWidth="1"/>
    <col min="10242" max="10242" width="12.5703125" bestFit="1" customWidth="1"/>
    <col min="10243" max="10243" width="55.140625" bestFit="1" customWidth="1"/>
    <col min="10244" max="10244" width="6" bestFit="1" customWidth="1"/>
    <col min="10245" max="10246" width="7.85546875" bestFit="1" customWidth="1"/>
    <col min="10247" max="10247" width="10.140625" bestFit="1" customWidth="1"/>
    <col min="10496" max="10496" width="6.85546875" customWidth="1"/>
    <col min="10497" max="10497" width="12.42578125" bestFit="1" customWidth="1"/>
    <col min="10498" max="10498" width="12.5703125" bestFit="1" customWidth="1"/>
    <col min="10499" max="10499" width="55.140625" bestFit="1" customWidth="1"/>
    <col min="10500" max="10500" width="6" bestFit="1" customWidth="1"/>
    <col min="10501" max="10502" width="7.85546875" bestFit="1" customWidth="1"/>
    <col min="10503" max="10503" width="10.140625" bestFit="1" customWidth="1"/>
    <col min="10752" max="10752" width="6.85546875" customWidth="1"/>
    <col min="10753" max="10753" width="12.42578125" bestFit="1" customWidth="1"/>
    <col min="10754" max="10754" width="12.5703125" bestFit="1" customWidth="1"/>
    <col min="10755" max="10755" width="55.140625" bestFit="1" customWidth="1"/>
    <col min="10756" max="10756" width="6" bestFit="1" customWidth="1"/>
    <col min="10757" max="10758" width="7.85546875" bestFit="1" customWidth="1"/>
    <col min="10759" max="10759" width="10.140625" bestFit="1" customWidth="1"/>
    <col min="11008" max="11008" width="6.85546875" customWidth="1"/>
    <col min="11009" max="11009" width="12.42578125" bestFit="1" customWidth="1"/>
    <col min="11010" max="11010" width="12.5703125" bestFit="1" customWidth="1"/>
    <col min="11011" max="11011" width="55.140625" bestFit="1" customWidth="1"/>
    <col min="11012" max="11012" width="6" bestFit="1" customWidth="1"/>
    <col min="11013" max="11014" width="7.85546875" bestFit="1" customWidth="1"/>
    <col min="11015" max="11015" width="10.140625" bestFit="1" customWidth="1"/>
    <col min="11264" max="11264" width="6.85546875" customWidth="1"/>
    <col min="11265" max="11265" width="12.42578125" bestFit="1" customWidth="1"/>
    <col min="11266" max="11266" width="12.5703125" bestFit="1" customWidth="1"/>
    <col min="11267" max="11267" width="55.140625" bestFit="1" customWidth="1"/>
    <col min="11268" max="11268" width="6" bestFit="1" customWidth="1"/>
    <col min="11269" max="11270" width="7.85546875" bestFit="1" customWidth="1"/>
    <col min="11271" max="11271" width="10.140625" bestFit="1" customWidth="1"/>
    <col min="11520" max="11520" width="6.85546875" customWidth="1"/>
    <col min="11521" max="11521" width="12.42578125" bestFit="1" customWidth="1"/>
    <col min="11522" max="11522" width="12.5703125" bestFit="1" customWidth="1"/>
    <col min="11523" max="11523" width="55.140625" bestFit="1" customWidth="1"/>
    <col min="11524" max="11524" width="6" bestFit="1" customWidth="1"/>
    <col min="11525" max="11526" width="7.85546875" bestFit="1" customWidth="1"/>
    <col min="11527" max="11527" width="10.140625" bestFit="1" customWidth="1"/>
    <col min="11776" max="11776" width="6.85546875" customWidth="1"/>
    <col min="11777" max="11777" width="12.42578125" bestFit="1" customWidth="1"/>
    <col min="11778" max="11778" width="12.5703125" bestFit="1" customWidth="1"/>
    <col min="11779" max="11779" width="55.140625" bestFit="1" customWidth="1"/>
    <col min="11780" max="11780" width="6" bestFit="1" customWidth="1"/>
    <col min="11781" max="11782" width="7.85546875" bestFit="1" customWidth="1"/>
    <col min="11783" max="11783" width="10.140625" bestFit="1" customWidth="1"/>
    <col min="12032" max="12032" width="6.85546875" customWidth="1"/>
    <col min="12033" max="12033" width="12.42578125" bestFit="1" customWidth="1"/>
    <col min="12034" max="12034" width="12.5703125" bestFit="1" customWidth="1"/>
    <col min="12035" max="12035" width="55.140625" bestFit="1" customWidth="1"/>
    <col min="12036" max="12036" width="6" bestFit="1" customWidth="1"/>
    <col min="12037" max="12038" width="7.85546875" bestFit="1" customWidth="1"/>
    <col min="12039" max="12039" width="10.140625" bestFit="1" customWidth="1"/>
    <col min="12288" max="12288" width="6.85546875" customWidth="1"/>
    <col min="12289" max="12289" width="12.42578125" bestFit="1" customWidth="1"/>
    <col min="12290" max="12290" width="12.5703125" bestFit="1" customWidth="1"/>
    <col min="12291" max="12291" width="55.140625" bestFit="1" customWidth="1"/>
    <col min="12292" max="12292" width="6" bestFit="1" customWidth="1"/>
    <col min="12293" max="12294" width="7.85546875" bestFit="1" customWidth="1"/>
    <col min="12295" max="12295" width="10.140625" bestFit="1" customWidth="1"/>
    <col min="12544" max="12544" width="6.85546875" customWidth="1"/>
    <col min="12545" max="12545" width="12.42578125" bestFit="1" customWidth="1"/>
    <col min="12546" max="12546" width="12.5703125" bestFit="1" customWidth="1"/>
    <col min="12547" max="12547" width="55.140625" bestFit="1" customWidth="1"/>
    <col min="12548" max="12548" width="6" bestFit="1" customWidth="1"/>
    <col min="12549" max="12550" width="7.85546875" bestFit="1" customWidth="1"/>
    <col min="12551" max="12551" width="10.140625" bestFit="1" customWidth="1"/>
    <col min="12800" max="12800" width="6.85546875" customWidth="1"/>
    <col min="12801" max="12801" width="12.42578125" bestFit="1" customWidth="1"/>
    <col min="12802" max="12802" width="12.5703125" bestFit="1" customWidth="1"/>
    <col min="12803" max="12803" width="55.140625" bestFit="1" customWidth="1"/>
    <col min="12804" max="12804" width="6" bestFit="1" customWidth="1"/>
    <col min="12805" max="12806" width="7.85546875" bestFit="1" customWidth="1"/>
    <col min="12807" max="12807" width="10.140625" bestFit="1" customWidth="1"/>
    <col min="13056" max="13056" width="6.85546875" customWidth="1"/>
    <col min="13057" max="13057" width="12.42578125" bestFit="1" customWidth="1"/>
    <col min="13058" max="13058" width="12.5703125" bestFit="1" customWidth="1"/>
    <col min="13059" max="13059" width="55.140625" bestFit="1" customWidth="1"/>
    <col min="13060" max="13060" width="6" bestFit="1" customWidth="1"/>
    <col min="13061" max="13062" width="7.85546875" bestFit="1" customWidth="1"/>
    <col min="13063" max="13063" width="10.140625" bestFit="1" customWidth="1"/>
    <col min="13312" max="13312" width="6.85546875" customWidth="1"/>
    <col min="13313" max="13313" width="12.42578125" bestFit="1" customWidth="1"/>
    <col min="13314" max="13314" width="12.5703125" bestFit="1" customWidth="1"/>
    <col min="13315" max="13315" width="55.140625" bestFit="1" customWidth="1"/>
    <col min="13316" max="13316" width="6" bestFit="1" customWidth="1"/>
    <col min="13317" max="13318" width="7.85546875" bestFit="1" customWidth="1"/>
    <col min="13319" max="13319" width="10.140625" bestFit="1" customWidth="1"/>
    <col min="13568" max="13568" width="6.85546875" customWidth="1"/>
    <col min="13569" max="13569" width="12.42578125" bestFit="1" customWidth="1"/>
    <col min="13570" max="13570" width="12.5703125" bestFit="1" customWidth="1"/>
    <col min="13571" max="13571" width="55.140625" bestFit="1" customWidth="1"/>
    <col min="13572" max="13572" width="6" bestFit="1" customWidth="1"/>
    <col min="13573" max="13574" width="7.85546875" bestFit="1" customWidth="1"/>
    <col min="13575" max="13575" width="10.140625" bestFit="1" customWidth="1"/>
    <col min="13824" max="13824" width="6.85546875" customWidth="1"/>
    <col min="13825" max="13825" width="12.42578125" bestFit="1" customWidth="1"/>
    <col min="13826" max="13826" width="12.5703125" bestFit="1" customWidth="1"/>
    <col min="13827" max="13827" width="55.140625" bestFit="1" customWidth="1"/>
    <col min="13828" max="13828" width="6" bestFit="1" customWidth="1"/>
    <col min="13829" max="13830" width="7.85546875" bestFit="1" customWidth="1"/>
    <col min="13831" max="13831" width="10.140625" bestFit="1" customWidth="1"/>
    <col min="14080" max="14080" width="6.85546875" customWidth="1"/>
    <col min="14081" max="14081" width="12.42578125" bestFit="1" customWidth="1"/>
    <col min="14082" max="14082" width="12.5703125" bestFit="1" customWidth="1"/>
    <col min="14083" max="14083" width="55.140625" bestFit="1" customWidth="1"/>
    <col min="14084" max="14084" width="6" bestFit="1" customWidth="1"/>
    <col min="14085" max="14086" width="7.85546875" bestFit="1" customWidth="1"/>
    <col min="14087" max="14087" width="10.140625" bestFit="1" customWidth="1"/>
    <col min="14336" max="14336" width="6.85546875" customWidth="1"/>
    <col min="14337" max="14337" width="12.42578125" bestFit="1" customWidth="1"/>
    <col min="14338" max="14338" width="12.5703125" bestFit="1" customWidth="1"/>
    <col min="14339" max="14339" width="55.140625" bestFit="1" customWidth="1"/>
    <col min="14340" max="14340" width="6" bestFit="1" customWidth="1"/>
    <col min="14341" max="14342" width="7.85546875" bestFit="1" customWidth="1"/>
    <col min="14343" max="14343" width="10.140625" bestFit="1" customWidth="1"/>
    <col min="14592" max="14592" width="6.85546875" customWidth="1"/>
    <col min="14593" max="14593" width="12.42578125" bestFit="1" customWidth="1"/>
    <col min="14594" max="14594" width="12.5703125" bestFit="1" customWidth="1"/>
    <col min="14595" max="14595" width="55.140625" bestFit="1" customWidth="1"/>
    <col min="14596" max="14596" width="6" bestFit="1" customWidth="1"/>
    <col min="14597" max="14598" width="7.85546875" bestFit="1" customWidth="1"/>
    <col min="14599" max="14599" width="10.140625" bestFit="1" customWidth="1"/>
    <col min="14848" max="14848" width="6.85546875" customWidth="1"/>
    <col min="14849" max="14849" width="12.42578125" bestFit="1" customWidth="1"/>
    <col min="14850" max="14850" width="12.5703125" bestFit="1" customWidth="1"/>
    <col min="14851" max="14851" width="55.140625" bestFit="1" customWidth="1"/>
    <col min="14852" max="14852" width="6" bestFit="1" customWidth="1"/>
    <col min="14853" max="14854" width="7.85546875" bestFit="1" customWidth="1"/>
    <col min="14855" max="14855" width="10.140625" bestFit="1" customWidth="1"/>
    <col min="15104" max="15104" width="6.85546875" customWidth="1"/>
    <col min="15105" max="15105" width="12.42578125" bestFit="1" customWidth="1"/>
    <col min="15106" max="15106" width="12.5703125" bestFit="1" customWidth="1"/>
    <col min="15107" max="15107" width="55.140625" bestFit="1" customWidth="1"/>
    <col min="15108" max="15108" width="6" bestFit="1" customWidth="1"/>
    <col min="15109" max="15110" width="7.85546875" bestFit="1" customWidth="1"/>
    <col min="15111" max="15111" width="10.140625" bestFit="1" customWidth="1"/>
    <col min="15360" max="15360" width="6.85546875" customWidth="1"/>
    <col min="15361" max="15361" width="12.42578125" bestFit="1" customWidth="1"/>
    <col min="15362" max="15362" width="12.5703125" bestFit="1" customWidth="1"/>
    <col min="15363" max="15363" width="55.140625" bestFit="1" customWidth="1"/>
    <col min="15364" max="15364" width="6" bestFit="1" customWidth="1"/>
    <col min="15365" max="15366" width="7.85546875" bestFit="1" customWidth="1"/>
    <col min="15367" max="15367" width="10.140625" bestFit="1" customWidth="1"/>
    <col min="15616" max="15616" width="6.85546875" customWidth="1"/>
    <col min="15617" max="15617" width="12.42578125" bestFit="1" customWidth="1"/>
    <col min="15618" max="15618" width="12.5703125" bestFit="1" customWidth="1"/>
    <col min="15619" max="15619" width="55.140625" bestFit="1" customWidth="1"/>
    <col min="15620" max="15620" width="6" bestFit="1" customWidth="1"/>
    <col min="15621" max="15622" width="7.85546875" bestFit="1" customWidth="1"/>
    <col min="15623" max="15623" width="10.140625" bestFit="1" customWidth="1"/>
    <col min="15872" max="15872" width="6.85546875" customWidth="1"/>
    <col min="15873" max="15873" width="12.42578125" bestFit="1" customWidth="1"/>
    <col min="15874" max="15874" width="12.5703125" bestFit="1" customWidth="1"/>
    <col min="15875" max="15875" width="55.140625" bestFit="1" customWidth="1"/>
    <col min="15876" max="15876" width="6" bestFit="1" customWidth="1"/>
    <col min="15877" max="15878" width="7.85546875" bestFit="1" customWidth="1"/>
    <col min="15879" max="15879" width="10.140625" bestFit="1" customWidth="1"/>
    <col min="16128" max="16128" width="6.85546875" customWidth="1"/>
    <col min="16129" max="16129" width="12.42578125" bestFit="1" customWidth="1"/>
    <col min="16130" max="16130" width="12.5703125" bestFit="1" customWidth="1"/>
    <col min="16131" max="16131" width="55.140625" bestFit="1" customWidth="1"/>
    <col min="16132" max="16132" width="6" bestFit="1" customWidth="1"/>
    <col min="16133" max="16134" width="7.85546875" bestFit="1" customWidth="1"/>
    <col min="16135" max="16135" width="10.140625" bestFit="1" customWidth="1"/>
  </cols>
  <sheetData>
    <row r="1" spans="1:8" s="211" customFormat="1" ht="20.25">
      <c r="A1" s="628" t="s">
        <v>13</v>
      </c>
      <c r="B1" s="629"/>
      <c r="C1" s="629"/>
      <c r="D1" s="629"/>
      <c r="E1" s="629"/>
      <c r="F1" s="360"/>
      <c r="G1" s="360"/>
      <c r="H1" s="361"/>
    </row>
    <row r="2" spans="1:8" s="211" customFormat="1" ht="18">
      <c r="A2" s="630" t="s">
        <v>272</v>
      </c>
      <c r="B2" s="631"/>
      <c r="C2" s="631"/>
      <c r="D2" s="631"/>
      <c r="E2" s="631"/>
      <c r="F2" s="362"/>
      <c r="G2" s="362"/>
      <c r="H2" s="363"/>
    </row>
    <row r="3" spans="1:8" s="211" customFormat="1" ht="15.75">
      <c r="A3" s="632" t="s">
        <v>15</v>
      </c>
      <c r="B3" s="633"/>
      <c r="C3" s="633"/>
      <c r="D3" s="633"/>
      <c r="E3" s="633"/>
      <c r="F3" s="364"/>
      <c r="G3" s="364"/>
      <c r="H3" s="365"/>
    </row>
    <row r="4" spans="1:8" s="211" customFormat="1" ht="14.25">
      <c r="A4" s="366"/>
      <c r="H4" s="267"/>
    </row>
    <row r="5" spans="1:8" s="211" customFormat="1" ht="20.25" customHeight="1">
      <c r="A5" s="367" t="s">
        <v>16</v>
      </c>
      <c r="B5" s="368"/>
      <c r="C5" s="369"/>
      <c r="D5" s="370"/>
      <c r="E5" s="634" t="s">
        <v>17</v>
      </c>
      <c r="F5" s="634"/>
      <c r="H5" s="267"/>
    </row>
    <row r="6" spans="1:8" s="211" customFormat="1" ht="18">
      <c r="A6" s="635" t="str">
        <f>'Estimativa LABMETRO e USIMEC'!A5:C5</f>
        <v>REFORMA DO LABMETRO E USIMEC - ESCOLA POLITÉCNICA - UFBA</v>
      </c>
      <c r="B6" s="636"/>
      <c r="C6" s="636"/>
      <c r="D6" s="636"/>
      <c r="E6" s="637" t="s">
        <v>516</v>
      </c>
      <c r="F6" s="637"/>
      <c r="G6" s="371"/>
      <c r="H6" s="372"/>
    </row>
    <row r="7" spans="1:8" s="211" customFormat="1" ht="19.5" customHeight="1">
      <c r="A7" s="639" t="s">
        <v>18</v>
      </c>
      <c r="B7" s="640"/>
      <c r="C7" s="640"/>
      <c r="D7" s="370"/>
      <c r="E7" s="641" t="s">
        <v>123</v>
      </c>
      <c r="F7" s="641"/>
      <c r="G7" s="642" t="s">
        <v>273</v>
      </c>
      <c r="H7" s="643"/>
    </row>
    <row r="8" spans="1:8" s="211" customFormat="1" ht="16.5" thickBot="1">
      <c r="A8" s="644" t="str">
        <f>[3]SERVIÇOS!A7</f>
        <v>Campus Universitário da Federção - Ssa - Ba</v>
      </c>
      <c r="B8" s="645"/>
      <c r="C8" s="645"/>
      <c r="D8" s="645"/>
      <c r="E8" s="646">
        <f>'Estimativa LABMETRO e USIMEC'!D7</f>
        <v>399.52</v>
      </c>
      <c r="F8" s="646"/>
      <c r="G8" s="647">
        <f ca="1">NOW()</f>
        <v>44636.41121215278</v>
      </c>
      <c r="H8" s="648"/>
    </row>
    <row r="9" spans="1:8" ht="15.75" thickTop="1">
      <c r="A9" s="373"/>
      <c r="B9" s="373"/>
      <c r="C9" s="373"/>
      <c r="D9" s="373"/>
      <c r="E9" s="373"/>
      <c r="F9" s="373"/>
      <c r="G9" s="373"/>
      <c r="H9" s="373"/>
    </row>
    <row r="10" spans="1:8" ht="20.25">
      <c r="A10" s="638" t="s">
        <v>274</v>
      </c>
      <c r="B10" s="638"/>
      <c r="C10" s="638"/>
      <c r="D10" s="638"/>
      <c r="E10" s="638"/>
      <c r="F10" s="638"/>
      <c r="G10" s="638"/>
      <c r="H10" s="638"/>
    </row>
    <row r="11" spans="1:8">
      <c r="A11" s="373"/>
      <c r="B11" s="373"/>
      <c r="C11" s="373"/>
      <c r="D11" s="373"/>
      <c r="E11" s="373"/>
      <c r="F11" s="373"/>
      <c r="G11" s="373"/>
      <c r="H11" s="373"/>
    </row>
    <row r="12" spans="1:8" ht="27.75" customHeight="1">
      <c r="A12" s="373"/>
      <c r="B12" s="373"/>
      <c r="C12" s="374">
        <v>88261</v>
      </c>
      <c r="D12" s="375" t="s">
        <v>281</v>
      </c>
      <c r="E12" s="376">
        <v>25.22</v>
      </c>
      <c r="F12" s="504"/>
      <c r="G12" s="373"/>
      <c r="H12" s="373"/>
    </row>
    <row r="13" spans="1:8">
      <c r="A13" s="373"/>
      <c r="B13" s="373"/>
      <c r="C13" s="374">
        <v>88316</v>
      </c>
      <c r="D13" s="375" t="s">
        <v>282</v>
      </c>
      <c r="E13" s="377">
        <v>17.579999999999998</v>
      </c>
      <c r="F13" s="504"/>
      <c r="G13" s="373"/>
      <c r="H13" s="373"/>
    </row>
    <row r="14" spans="1:8">
      <c r="A14" s="373"/>
      <c r="B14" s="373"/>
      <c r="C14" s="374">
        <v>88309</v>
      </c>
      <c r="D14" s="375" t="s">
        <v>355</v>
      </c>
      <c r="E14" s="376">
        <v>28.7</v>
      </c>
      <c r="F14" s="504"/>
      <c r="G14" s="373"/>
      <c r="H14" s="373"/>
    </row>
    <row r="15" spans="1:8">
      <c r="A15" s="373"/>
      <c r="B15" s="373"/>
      <c r="C15" s="374">
        <v>88315</v>
      </c>
      <c r="D15" s="375" t="s">
        <v>356</v>
      </c>
      <c r="E15" s="377">
        <v>25.28</v>
      </c>
      <c r="F15" s="504"/>
      <c r="G15" s="373"/>
      <c r="H15" s="373"/>
    </row>
    <row r="16" spans="1:8" ht="18">
      <c r="A16" s="378"/>
      <c r="B16" s="378"/>
      <c r="C16" s="378"/>
      <c r="D16" s="378"/>
      <c r="E16" s="378"/>
      <c r="F16" s="378"/>
      <c r="G16" s="378"/>
      <c r="H16" s="378"/>
    </row>
    <row r="17" spans="1:8" ht="18">
      <c r="A17" s="378"/>
      <c r="B17" s="379"/>
      <c r="C17" s="380"/>
      <c r="D17" s="381" t="s">
        <v>275</v>
      </c>
      <c r="E17" s="380"/>
      <c r="F17" s="382"/>
      <c r="G17" s="383"/>
      <c r="H17" s="384"/>
    </row>
    <row r="18" spans="1:8" ht="48">
      <c r="A18" s="378"/>
      <c r="B18" s="385"/>
      <c r="C18" s="385"/>
      <c r="D18" s="386" t="s">
        <v>475</v>
      </c>
      <c r="E18" s="385"/>
      <c r="F18" s="387"/>
      <c r="G18" s="388"/>
      <c r="H18" s="388"/>
    </row>
    <row r="19" spans="1:8" ht="18">
      <c r="A19" s="378"/>
      <c r="B19" s="379"/>
      <c r="C19" s="380"/>
      <c r="D19" s="389"/>
      <c r="E19" s="380"/>
      <c r="F19" s="390" t="s">
        <v>276</v>
      </c>
      <c r="G19" s="391" t="s">
        <v>277</v>
      </c>
      <c r="H19" s="391" t="s">
        <v>278</v>
      </c>
    </row>
    <row r="20" spans="1:8" ht="48">
      <c r="A20" s="378"/>
      <c r="B20" s="392">
        <v>1</v>
      </c>
      <c r="C20" s="393">
        <v>90822</v>
      </c>
      <c r="D20" s="394" t="s">
        <v>474</v>
      </c>
      <c r="E20" s="395" t="s">
        <v>9</v>
      </c>
      <c r="F20" s="390">
        <v>1</v>
      </c>
      <c r="G20" s="505">
        <v>372.69</v>
      </c>
      <c r="H20" s="397">
        <f>F20*G20</f>
        <v>372.69</v>
      </c>
    </row>
    <row r="21" spans="1:8" ht="35.25" customHeight="1">
      <c r="A21" s="378"/>
      <c r="B21" s="392"/>
      <c r="C21" s="393">
        <v>91307</v>
      </c>
      <c r="D21" s="394" t="s">
        <v>258</v>
      </c>
      <c r="E21" s="395" t="s">
        <v>9</v>
      </c>
      <c r="F21" s="390">
        <v>1</v>
      </c>
      <c r="G21" s="505">
        <v>98.97</v>
      </c>
      <c r="H21" s="397">
        <f>F21*G21</f>
        <v>98.97</v>
      </c>
    </row>
    <row r="22" spans="1:8" ht="24">
      <c r="A22" s="378"/>
      <c r="B22" s="392">
        <v>2</v>
      </c>
      <c r="C22" s="398">
        <v>88261</v>
      </c>
      <c r="D22" s="375" t="s">
        <v>281</v>
      </c>
      <c r="E22" s="395" t="s">
        <v>279</v>
      </c>
      <c r="F22" s="390">
        <v>1</v>
      </c>
      <c r="G22" s="505">
        <v>26.44</v>
      </c>
      <c r="H22" s="397">
        <f>F22*G22</f>
        <v>26.44</v>
      </c>
    </row>
    <row r="23" spans="1:8" ht="18">
      <c r="A23" s="378"/>
      <c r="B23" s="392">
        <v>3</v>
      </c>
      <c r="C23" s="398">
        <v>88316</v>
      </c>
      <c r="D23" s="375" t="s">
        <v>282</v>
      </c>
      <c r="E23" s="395" t="s">
        <v>279</v>
      </c>
      <c r="F23" s="390">
        <v>1</v>
      </c>
      <c r="G23" s="506">
        <v>18.79</v>
      </c>
      <c r="H23" s="397">
        <f>F23*G23</f>
        <v>18.79</v>
      </c>
    </row>
    <row r="24" spans="1:8" ht="18">
      <c r="A24" s="378"/>
      <c r="B24" s="379"/>
      <c r="C24" s="384"/>
      <c r="D24" s="399"/>
      <c r="E24" s="384"/>
      <c r="F24" s="400"/>
      <c r="G24" s="401" t="s">
        <v>280</v>
      </c>
      <c r="H24" s="402">
        <f>SUM(H20:H23)</f>
        <v>516.89</v>
      </c>
    </row>
    <row r="25" spans="1:8" ht="18">
      <c r="A25" s="378"/>
      <c r="B25" s="378"/>
      <c r="C25" s="403"/>
      <c r="D25" s="404"/>
      <c r="E25" s="403"/>
      <c r="F25" s="405"/>
      <c r="G25" s="406"/>
      <c r="H25" s="407"/>
    </row>
    <row r="26" spans="1:8" ht="18">
      <c r="A26" s="378"/>
      <c r="B26" s="378"/>
      <c r="C26" s="378"/>
      <c r="D26" s="378"/>
      <c r="E26" s="378"/>
      <c r="F26" s="378"/>
      <c r="G26" s="378"/>
      <c r="H26" s="378"/>
    </row>
    <row r="27" spans="1:8" ht="18">
      <c r="B27" s="379"/>
      <c r="C27" s="380"/>
      <c r="D27" s="381" t="s">
        <v>357</v>
      </c>
      <c r="E27" s="380"/>
      <c r="F27" s="382"/>
      <c r="G27" s="383"/>
      <c r="H27" s="384"/>
    </row>
    <row r="28" spans="1:8" ht="48">
      <c r="B28" s="385"/>
      <c r="C28" s="385"/>
      <c r="D28" s="386" t="s">
        <v>352</v>
      </c>
      <c r="E28" s="385"/>
      <c r="F28" s="387"/>
      <c r="G28" s="388"/>
      <c r="H28" s="388"/>
    </row>
    <row r="29" spans="1:8" ht="18">
      <c r="B29" s="379"/>
      <c r="C29" s="380"/>
      <c r="D29" s="389"/>
      <c r="E29" s="380"/>
      <c r="F29" s="390" t="s">
        <v>276</v>
      </c>
      <c r="G29" s="391" t="s">
        <v>277</v>
      </c>
      <c r="H29" s="391" t="s">
        <v>278</v>
      </c>
    </row>
    <row r="30" spans="1:8" ht="36">
      <c r="B30" s="392">
        <v>1</v>
      </c>
      <c r="C30" s="441" t="s">
        <v>353</v>
      </c>
      <c r="D30" s="394" t="s">
        <v>354</v>
      </c>
      <c r="E30" s="395" t="s">
        <v>9</v>
      </c>
      <c r="F30" s="390">
        <v>1</v>
      </c>
      <c r="G30" s="396">
        <f>2116.8*0.9074</f>
        <v>1920.7843200000002</v>
      </c>
      <c r="H30" s="397">
        <f>F30*G30</f>
        <v>1920.7843200000002</v>
      </c>
    </row>
    <row r="31" spans="1:8">
      <c r="B31" s="392">
        <v>2</v>
      </c>
      <c r="C31" s="398">
        <v>88309</v>
      </c>
      <c r="D31" s="375" t="s">
        <v>355</v>
      </c>
      <c r="E31" s="395" t="s">
        <v>279</v>
      </c>
      <c r="F31" s="390">
        <v>2</v>
      </c>
      <c r="G31" s="505">
        <v>26.66</v>
      </c>
      <c r="H31" s="397">
        <f>F31*G31</f>
        <v>53.32</v>
      </c>
    </row>
    <row r="32" spans="1:8">
      <c r="B32" s="392">
        <v>3</v>
      </c>
      <c r="C32" s="398">
        <v>88315</v>
      </c>
      <c r="D32" s="375" t="s">
        <v>356</v>
      </c>
      <c r="E32" s="395" t="s">
        <v>279</v>
      </c>
      <c r="F32" s="390">
        <v>2</v>
      </c>
      <c r="G32" s="506">
        <v>26.51</v>
      </c>
      <c r="H32" s="397">
        <f>F32*G32</f>
        <v>53.02</v>
      </c>
    </row>
    <row r="33" spans="2:8" ht="18">
      <c r="B33" s="379"/>
      <c r="C33" s="384"/>
      <c r="D33" s="399"/>
      <c r="E33" s="384"/>
      <c r="F33" s="400"/>
      <c r="G33" s="401" t="s">
        <v>280</v>
      </c>
      <c r="H33" s="402">
        <f>SUM(H30:H32)</f>
        <v>2027.1243200000001</v>
      </c>
    </row>
    <row r="34" spans="2:8" ht="18">
      <c r="B34" s="378"/>
      <c r="C34" s="403"/>
      <c r="D34" s="404"/>
      <c r="E34" s="403"/>
      <c r="F34" s="405"/>
      <c r="G34" s="406"/>
      <c r="H34" s="407"/>
    </row>
    <row r="36" spans="2:8">
      <c r="B36" s="542"/>
      <c r="C36" s="543"/>
      <c r="D36" s="545" t="s">
        <v>498</v>
      </c>
      <c r="E36" s="543"/>
      <c r="F36" s="543"/>
      <c r="G36" s="543"/>
      <c r="H36" s="544"/>
    </row>
    <row r="37" spans="2:8" ht="24">
      <c r="B37" s="385"/>
      <c r="C37" s="385"/>
      <c r="D37" s="541" t="s">
        <v>485</v>
      </c>
      <c r="E37" s="385"/>
      <c r="F37" s="385"/>
      <c r="G37" s="385"/>
      <c r="H37" s="385"/>
    </row>
    <row r="38" spans="2:8">
      <c r="B38" s="536"/>
      <c r="C38" s="537"/>
      <c r="D38" s="537"/>
      <c r="E38" s="537"/>
      <c r="F38" s="537"/>
      <c r="G38" s="537" t="s">
        <v>277</v>
      </c>
      <c r="H38" s="537" t="s">
        <v>278</v>
      </c>
    </row>
    <row r="39" spans="2:8" ht="30">
      <c r="B39" s="538" t="s">
        <v>431</v>
      </c>
      <c r="C39" s="539" t="s">
        <v>461</v>
      </c>
      <c r="D39" s="540" t="s">
        <v>460</v>
      </c>
      <c r="E39" s="549" t="s">
        <v>9</v>
      </c>
      <c r="F39" s="549">
        <v>1</v>
      </c>
      <c r="G39" s="550">
        <v>7.04</v>
      </c>
      <c r="H39" s="550">
        <f t="shared" ref="H39:H45" si="0">F39*G39</f>
        <v>7.04</v>
      </c>
    </row>
    <row r="40" spans="2:8">
      <c r="B40" s="546" t="s">
        <v>432</v>
      </c>
      <c r="C40" s="552">
        <v>12016</v>
      </c>
      <c r="D40" s="547" t="s">
        <v>433</v>
      </c>
      <c r="E40" s="552" t="s">
        <v>9</v>
      </c>
      <c r="F40" s="552">
        <v>1</v>
      </c>
      <c r="G40" s="552">
        <v>8.09</v>
      </c>
      <c r="H40" s="549">
        <f t="shared" si="0"/>
        <v>8.09</v>
      </c>
    </row>
    <row r="41" spans="2:8" ht="30">
      <c r="B41" s="546" t="s">
        <v>432</v>
      </c>
      <c r="C41" s="552">
        <v>11950</v>
      </c>
      <c r="D41" s="547" t="s">
        <v>434</v>
      </c>
      <c r="E41" s="552" t="s">
        <v>9</v>
      </c>
      <c r="F41" s="552">
        <v>2</v>
      </c>
      <c r="G41" s="553">
        <v>0.2</v>
      </c>
      <c r="H41" s="549">
        <f t="shared" si="0"/>
        <v>0.4</v>
      </c>
    </row>
    <row r="42" spans="2:8">
      <c r="B42" s="546" t="s">
        <v>431</v>
      </c>
      <c r="C42" s="556" t="s">
        <v>435</v>
      </c>
      <c r="D42" s="547" t="s">
        <v>436</v>
      </c>
      <c r="E42" s="552" t="s">
        <v>9</v>
      </c>
      <c r="F42" s="552">
        <v>1</v>
      </c>
      <c r="G42" s="552">
        <v>1.51</v>
      </c>
      <c r="H42" s="549">
        <f t="shared" si="0"/>
        <v>1.51</v>
      </c>
    </row>
    <row r="43" spans="2:8">
      <c r="B43" s="546" t="s">
        <v>432</v>
      </c>
      <c r="C43" s="552">
        <v>39352</v>
      </c>
      <c r="D43" s="547" t="s">
        <v>437</v>
      </c>
      <c r="E43" s="552" t="s">
        <v>9</v>
      </c>
      <c r="F43" s="552">
        <v>1</v>
      </c>
      <c r="G43" s="552">
        <v>2.4300000000000002</v>
      </c>
      <c r="H43" s="549">
        <f t="shared" si="0"/>
        <v>2.4300000000000002</v>
      </c>
    </row>
    <row r="44" spans="2:8" ht="30">
      <c r="B44" s="546" t="s">
        <v>438</v>
      </c>
      <c r="C44" s="552">
        <v>88247</v>
      </c>
      <c r="D44" s="547" t="s">
        <v>439</v>
      </c>
      <c r="E44" s="552" t="s">
        <v>279</v>
      </c>
      <c r="F44" s="552">
        <v>0.41</v>
      </c>
      <c r="G44" s="552">
        <v>21.22</v>
      </c>
      <c r="H44" s="549">
        <f t="shared" si="0"/>
        <v>8.7001999999999988</v>
      </c>
    </row>
    <row r="45" spans="2:8">
      <c r="B45" s="546" t="s">
        <v>438</v>
      </c>
      <c r="C45" s="552">
        <v>88264</v>
      </c>
      <c r="D45" s="547" t="s">
        <v>440</v>
      </c>
      <c r="E45" s="552" t="s">
        <v>279</v>
      </c>
      <c r="F45" s="552">
        <v>0.41</v>
      </c>
      <c r="G45" s="552">
        <v>26.92</v>
      </c>
      <c r="H45" s="549">
        <f t="shared" si="0"/>
        <v>11.0372</v>
      </c>
    </row>
    <row r="46" spans="2:8">
      <c r="B46" s="536"/>
      <c r="C46" s="536"/>
      <c r="D46" s="536"/>
      <c r="E46" s="554"/>
      <c r="F46" s="554"/>
      <c r="G46" s="401" t="s">
        <v>280</v>
      </c>
      <c r="H46" s="550">
        <f>SUM(H39:H45)</f>
        <v>39.2074</v>
      </c>
    </row>
    <row r="49" spans="2:8">
      <c r="B49" s="542"/>
      <c r="C49" s="543"/>
      <c r="D49" s="545" t="s">
        <v>499</v>
      </c>
      <c r="E49" s="543"/>
      <c r="F49" s="543"/>
      <c r="G49" s="543"/>
      <c r="H49" s="544"/>
    </row>
    <row r="50" spans="2:8">
      <c r="B50" s="385"/>
      <c r="C50" s="385"/>
      <c r="D50" s="541" t="s">
        <v>458</v>
      </c>
      <c r="E50" s="385"/>
      <c r="F50" s="385"/>
      <c r="G50" s="385"/>
      <c r="H50" s="385"/>
    </row>
    <row r="51" spans="2:8">
      <c r="B51" s="536"/>
      <c r="C51" s="537"/>
      <c r="D51" s="537"/>
      <c r="E51" s="537"/>
      <c r="F51" s="537"/>
      <c r="G51" s="537" t="s">
        <v>277</v>
      </c>
      <c r="H51" s="537" t="s">
        <v>278</v>
      </c>
    </row>
    <row r="52" spans="2:8" ht="45">
      <c r="B52" s="546" t="s">
        <v>438</v>
      </c>
      <c r="C52" s="548" t="s">
        <v>456</v>
      </c>
      <c r="D52" s="540" t="s">
        <v>454</v>
      </c>
      <c r="E52" s="549" t="s">
        <v>0</v>
      </c>
      <c r="F52" s="549">
        <v>1.5</v>
      </c>
      <c r="G52" s="549">
        <v>8.9499999999999993</v>
      </c>
      <c r="H52" s="549">
        <f>F52*G52</f>
        <v>13.424999999999999</v>
      </c>
    </row>
    <row r="53" spans="2:8">
      <c r="B53" s="546" t="s">
        <v>438</v>
      </c>
      <c r="C53" s="548">
        <v>88316</v>
      </c>
      <c r="D53" s="551" t="s">
        <v>457</v>
      </c>
      <c r="E53" s="548" t="s">
        <v>279</v>
      </c>
      <c r="F53" s="548">
        <v>4</v>
      </c>
      <c r="G53" s="548">
        <v>18.79</v>
      </c>
      <c r="H53" s="549">
        <f>F53*G53</f>
        <v>75.16</v>
      </c>
    </row>
    <row r="54" spans="2:8">
      <c r="B54" s="536"/>
      <c r="C54" s="536"/>
      <c r="D54" s="536"/>
      <c r="E54" s="536"/>
      <c r="F54" s="536"/>
      <c r="G54" s="401" t="s">
        <v>280</v>
      </c>
      <c r="H54" s="550">
        <f>SUM(H52:H53)</f>
        <v>88.584999999999994</v>
      </c>
    </row>
    <row r="58" spans="2:8">
      <c r="B58" s="542"/>
      <c r="C58" s="543"/>
      <c r="D58" s="545" t="s">
        <v>500</v>
      </c>
      <c r="E58" s="543"/>
      <c r="F58" s="543"/>
      <c r="G58" s="543"/>
      <c r="H58" s="544"/>
    </row>
    <row r="59" spans="2:8">
      <c r="B59" s="385"/>
      <c r="C59" s="385"/>
      <c r="D59" s="541" t="s">
        <v>462</v>
      </c>
      <c r="E59" s="385"/>
      <c r="F59" s="385"/>
      <c r="G59" s="385"/>
      <c r="H59" s="385"/>
    </row>
    <row r="60" spans="2:8">
      <c r="B60" s="536"/>
      <c r="C60" s="537"/>
      <c r="D60" s="537"/>
      <c r="E60" s="537"/>
      <c r="F60" s="537"/>
      <c r="G60" s="537" t="s">
        <v>277</v>
      </c>
      <c r="H60" s="537" t="s">
        <v>278</v>
      </c>
    </row>
    <row r="61" spans="2:8" ht="60">
      <c r="B61" s="546" t="s">
        <v>438</v>
      </c>
      <c r="C61" s="555" t="s">
        <v>463</v>
      </c>
      <c r="D61" s="547" t="s">
        <v>464</v>
      </c>
      <c r="E61" s="552" t="s">
        <v>5</v>
      </c>
      <c r="F61" s="552">
        <v>0</v>
      </c>
      <c r="G61" s="552">
        <v>52.78</v>
      </c>
      <c r="H61" s="552">
        <f>F61*G61</f>
        <v>0</v>
      </c>
    </row>
    <row r="62" spans="2:8" ht="45">
      <c r="B62" s="546" t="s">
        <v>438</v>
      </c>
      <c r="C62" s="552">
        <v>97627</v>
      </c>
      <c r="D62" s="547" t="s">
        <v>453</v>
      </c>
      <c r="E62" s="552" t="s">
        <v>5</v>
      </c>
      <c r="F62" s="552">
        <v>0.1875</v>
      </c>
      <c r="G62" s="552">
        <v>296.43</v>
      </c>
      <c r="H62" s="553">
        <f t="shared" ref="H62:H65" si="1">F62*G62</f>
        <v>55.580624999999998</v>
      </c>
    </row>
    <row r="63" spans="2:8" ht="77.25" customHeight="1">
      <c r="B63" s="546" t="s">
        <v>438</v>
      </c>
      <c r="C63" s="552" t="s">
        <v>465</v>
      </c>
      <c r="D63" s="547" t="s">
        <v>466</v>
      </c>
      <c r="E63" s="552" t="s">
        <v>10</v>
      </c>
      <c r="F63" s="552">
        <v>5</v>
      </c>
      <c r="G63" s="553">
        <v>33.22</v>
      </c>
      <c r="H63" s="552">
        <f t="shared" si="1"/>
        <v>166.1</v>
      </c>
    </row>
    <row r="64" spans="2:8" ht="48.75" customHeight="1">
      <c r="B64" s="546" t="s">
        <v>438</v>
      </c>
      <c r="C64" s="555">
        <v>92265</v>
      </c>
      <c r="D64" s="547" t="s">
        <v>467</v>
      </c>
      <c r="E64" s="552" t="s">
        <v>0</v>
      </c>
      <c r="F64" s="552">
        <v>3.25</v>
      </c>
      <c r="G64" s="552">
        <v>124.21</v>
      </c>
      <c r="H64" s="553">
        <f t="shared" si="1"/>
        <v>403.6825</v>
      </c>
    </row>
    <row r="65" spans="2:8" ht="60">
      <c r="B65" s="546" t="s">
        <v>438</v>
      </c>
      <c r="C65" s="552">
        <v>94965</v>
      </c>
      <c r="D65" s="547" t="s">
        <v>468</v>
      </c>
      <c r="E65" s="552" t="s">
        <v>5</v>
      </c>
      <c r="F65" s="552">
        <f>0.15*0.15*5</f>
        <v>0.11249999999999999</v>
      </c>
      <c r="G65" s="552">
        <v>475.9</v>
      </c>
      <c r="H65" s="552">
        <f t="shared" si="1"/>
        <v>53.538749999999993</v>
      </c>
    </row>
    <row r="66" spans="2:8">
      <c r="B66" s="536"/>
      <c r="C66" s="536"/>
      <c r="D66" s="536"/>
      <c r="E66" s="554"/>
      <c r="F66" s="554"/>
      <c r="G66" s="401" t="s">
        <v>280</v>
      </c>
      <c r="H66" s="550">
        <f>SUM(H61:H65)</f>
        <v>678.90187500000002</v>
      </c>
    </row>
    <row r="69" spans="2:8">
      <c r="B69" s="542"/>
      <c r="C69" s="543"/>
      <c r="D69" s="545" t="s">
        <v>501</v>
      </c>
      <c r="E69" s="543"/>
      <c r="F69" s="543"/>
      <c r="G69" s="543"/>
      <c r="H69" s="544"/>
    </row>
    <row r="70" spans="2:8" ht="36">
      <c r="B70" s="557" t="s">
        <v>486</v>
      </c>
      <c r="C70" s="557" t="s">
        <v>487</v>
      </c>
      <c r="D70" s="558" t="s">
        <v>493</v>
      </c>
      <c r="E70" s="557"/>
      <c r="F70" s="557"/>
      <c r="G70" s="557" t="s">
        <v>277</v>
      </c>
      <c r="H70" s="557" t="s">
        <v>278</v>
      </c>
    </row>
    <row r="71" spans="2:8" ht="27" customHeight="1">
      <c r="B71" s="559" t="s">
        <v>432</v>
      </c>
      <c r="C71" s="559">
        <v>12070</v>
      </c>
      <c r="D71" s="560" t="s">
        <v>492</v>
      </c>
      <c r="E71" s="559" t="s">
        <v>10</v>
      </c>
      <c r="F71" s="561">
        <v>1.0481</v>
      </c>
      <c r="G71" s="562">
        <v>5.1100000000000003</v>
      </c>
      <c r="H71" s="562">
        <f t="shared" ref="H71:H74" si="2">F71*G71</f>
        <v>5.3557910000000009</v>
      </c>
    </row>
    <row r="72" spans="2:8" ht="24">
      <c r="B72" s="559" t="s">
        <v>438</v>
      </c>
      <c r="C72" s="559" t="s">
        <v>488</v>
      </c>
      <c r="D72" s="560" t="s">
        <v>439</v>
      </c>
      <c r="E72" s="559" t="s">
        <v>279</v>
      </c>
      <c r="F72" s="561">
        <v>5.0599999999999999E-2</v>
      </c>
      <c r="G72" s="562">
        <v>21.22</v>
      </c>
      <c r="H72" s="562">
        <f t="shared" si="2"/>
        <v>1.0737319999999999</v>
      </c>
    </row>
    <row r="73" spans="2:8">
      <c r="B73" s="559" t="s">
        <v>438</v>
      </c>
      <c r="C73" s="559" t="s">
        <v>489</v>
      </c>
      <c r="D73" s="560" t="s">
        <v>440</v>
      </c>
      <c r="E73" s="559" t="s">
        <v>279</v>
      </c>
      <c r="F73" s="561">
        <v>5.0599999999999999E-2</v>
      </c>
      <c r="G73" s="562">
        <v>26.92</v>
      </c>
      <c r="H73" s="562">
        <f t="shared" si="2"/>
        <v>1.362152</v>
      </c>
    </row>
    <row r="74" spans="2:8" ht="60">
      <c r="B74" s="559" t="s">
        <v>438</v>
      </c>
      <c r="C74" s="559" t="s">
        <v>490</v>
      </c>
      <c r="D74" s="560" t="s">
        <v>491</v>
      </c>
      <c r="E74" s="559" t="s">
        <v>10</v>
      </c>
      <c r="F74" s="562">
        <v>1</v>
      </c>
      <c r="G74" s="562">
        <v>2.94</v>
      </c>
      <c r="H74" s="562">
        <f t="shared" si="2"/>
        <v>2.94</v>
      </c>
    </row>
    <row r="75" spans="2:8">
      <c r="B75" s="536"/>
      <c r="C75" s="536"/>
      <c r="D75" s="536"/>
      <c r="E75" s="554"/>
      <c r="F75" s="554"/>
      <c r="G75" s="401" t="s">
        <v>280</v>
      </c>
      <c r="H75" s="402">
        <f>SUM(H71:H74)</f>
        <v>10.731675000000001</v>
      </c>
    </row>
    <row r="78" spans="2:8">
      <c r="B78" s="542"/>
      <c r="C78" s="543"/>
      <c r="D78" s="545" t="s">
        <v>502</v>
      </c>
      <c r="E78" s="543"/>
      <c r="F78" s="543"/>
      <c r="G78" s="543"/>
      <c r="H78" s="544"/>
    </row>
    <row r="79" spans="2:8" ht="24">
      <c r="B79" s="557" t="s">
        <v>486</v>
      </c>
      <c r="C79" s="557" t="s">
        <v>487</v>
      </c>
      <c r="D79" s="558" t="s">
        <v>503</v>
      </c>
      <c r="E79" s="557"/>
      <c r="F79" s="557"/>
      <c r="G79" s="557" t="s">
        <v>277</v>
      </c>
      <c r="H79" s="557" t="s">
        <v>278</v>
      </c>
    </row>
    <row r="80" spans="2:8" ht="24">
      <c r="B80" s="559" t="s">
        <v>431</v>
      </c>
      <c r="C80" s="559">
        <v>12070</v>
      </c>
      <c r="D80" s="560" t="s">
        <v>504</v>
      </c>
      <c r="E80" s="559" t="s">
        <v>9</v>
      </c>
      <c r="F80" s="561">
        <v>1</v>
      </c>
      <c r="G80" s="562">
        <v>18.8</v>
      </c>
      <c r="H80" s="562">
        <f t="shared" ref="H80:H82" si="3">F80*G80</f>
        <v>18.8</v>
      </c>
    </row>
    <row r="81" spans="2:8" ht="24">
      <c r="B81" s="559" t="s">
        <v>438</v>
      </c>
      <c r="C81" s="559" t="s">
        <v>488</v>
      </c>
      <c r="D81" s="560" t="s">
        <v>439</v>
      </c>
      <c r="E81" s="559" t="s">
        <v>279</v>
      </c>
      <c r="F81" s="561">
        <v>5.0599999999999999E-2</v>
      </c>
      <c r="G81" s="562">
        <v>21.22</v>
      </c>
      <c r="H81" s="562">
        <f t="shared" si="3"/>
        <v>1.0737319999999999</v>
      </c>
    </row>
    <row r="82" spans="2:8">
      <c r="B82" s="559" t="s">
        <v>438</v>
      </c>
      <c r="C82" s="559" t="s">
        <v>489</v>
      </c>
      <c r="D82" s="560" t="s">
        <v>440</v>
      </c>
      <c r="E82" s="559" t="s">
        <v>279</v>
      </c>
      <c r="F82" s="561">
        <v>5.0599999999999999E-2</v>
      </c>
      <c r="G82" s="562">
        <v>26.92</v>
      </c>
      <c r="H82" s="562">
        <f t="shared" si="3"/>
        <v>1.362152</v>
      </c>
    </row>
    <row r="83" spans="2:8">
      <c r="B83" s="536"/>
      <c r="C83" s="536"/>
      <c r="D83" s="536"/>
      <c r="E83" s="554"/>
      <c r="F83" s="554"/>
      <c r="G83" s="401" t="s">
        <v>280</v>
      </c>
      <c r="H83" s="402">
        <f>SUM(H80:H82)</f>
        <v>21.235883999999999</v>
      </c>
    </row>
    <row r="86" spans="2:8">
      <c r="B86" s="542"/>
      <c r="C86" s="543"/>
      <c r="D86" s="545" t="s">
        <v>505</v>
      </c>
      <c r="E86" s="543"/>
      <c r="F86" s="543"/>
      <c r="G86" s="543"/>
      <c r="H86" s="544"/>
    </row>
    <row r="87" spans="2:8" ht="24">
      <c r="B87" s="557" t="s">
        <v>486</v>
      </c>
      <c r="C87" s="557" t="s">
        <v>487</v>
      </c>
      <c r="D87" s="558" t="s">
        <v>506</v>
      </c>
      <c r="E87" s="557"/>
      <c r="F87" s="557"/>
      <c r="G87" s="557" t="s">
        <v>277</v>
      </c>
      <c r="H87" s="557" t="s">
        <v>278</v>
      </c>
    </row>
    <row r="88" spans="2:8">
      <c r="B88" s="559" t="s">
        <v>431</v>
      </c>
      <c r="C88" s="559">
        <v>12070</v>
      </c>
      <c r="D88" s="560" t="s">
        <v>507</v>
      </c>
      <c r="E88" s="559" t="s">
        <v>9</v>
      </c>
      <c r="F88" s="561">
        <v>1</v>
      </c>
      <c r="G88" s="562">
        <v>9.68</v>
      </c>
      <c r="H88" s="562">
        <f t="shared" ref="H88:H90" si="4">F88*G88</f>
        <v>9.68</v>
      </c>
    </row>
    <row r="89" spans="2:8" ht="24">
      <c r="B89" s="559" t="s">
        <v>438</v>
      </c>
      <c r="C89" s="559" t="s">
        <v>488</v>
      </c>
      <c r="D89" s="560" t="s">
        <v>439</v>
      </c>
      <c r="E89" s="559" t="s">
        <v>279</v>
      </c>
      <c r="F89" s="561">
        <v>5.0599999999999999E-2</v>
      </c>
      <c r="G89" s="562">
        <v>21.22</v>
      </c>
      <c r="H89" s="562">
        <f t="shared" si="4"/>
        <v>1.0737319999999999</v>
      </c>
    </row>
    <row r="90" spans="2:8">
      <c r="B90" s="559" t="s">
        <v>438</v>
      </c>
      <c r="C90" s="559" t="s">
        <v>489</v>
      </c>
      <c r="D90" s="560" t="s">
        <v>440</v>
      </c>
      <c r="E90" s="559" t="s">
        <v>279</v>
      </c>
      <c r="F90" s="561">
        <v>5.0599999999999999E-2</v>
      </c>
      <c r="G90" s="562">
        <v>26.92</v>
      </c>
      <c r="H90" s="562">
        <f t="shared" si="4"/>
        <v>1.362152</v>
      </c>
    </row>
    <row r="91" spans="2:8">
      <c r="B91" s="536"/>
      <c r="C91" s="536"/>
      <c r="D91" s="536"/>
      <c r="E91" s="554"/>
      <c r="F91" s="554"/>
      <c r="G91" s="401" t="s">
        <v>280</v>
      </c>
      <c r="H91" s="402">
        <f>SUM(H88:H90)</f>
        <v>12.115883999999999</v>
      </c>
    </row>
    <row r="94" spans="2:8">
      <c r="B94" s="542"/>
      <c r="C94" s="543"/>
      <c r="D94" s="545" t="s">
        <v>508</v>
      </c>
      <c r="E94" s="543"/>
      <c r="F94" s="543"/>
      <c r="G94" s="543"/>
      <c r="H94" s="544"/>
    </row>
    <row r="95" spans="2:8" ht="24">
      <c r="B95" s="557" t="s">
        <v>486</v>
      </c>
      <c r="C95" s="557" t="s">
        <v>487</v>
      </c>
      <c r="D95" s="558" t="s">
        <v>513</v>
      </c>
      <c r="E95" s="557"/>
      <c r="F95" s="557"/>
      <c r="G95" s="557" t="s">
        <v>277</v>
      </c>
      <c r="H95" s="557" t="s">
        <v>278</v>
      </c>
    </row>
    <row r="96" spans="2:8" ht="26.25" customHeight="1">
      <c r="B96" s="559" t="s">
        <v>432</v>
      </c>
      <c r="C96" s="559">
        <v>1872</v>
      </c>
      <c r="D96" s="560" t="s">
        <v>511</v>
      </c>
      <c r="E96" s="559" t="s">
        <v>9</v>
      </c>
      <c r="F96" s="561">
        <v>1</v>
      </c>
      <c r="G96" s="562">
        <v>1.75</v>
      </c>
      <c r="H96" s="562">
        <f t="shared" ref="H96:H100" si="5">F96*G96</f>
        <v>1.75</v>
      </c>
    </row>
    <row r="97" spans="2:8" ht="27.75" customHeight="1">
      <c r="B97" s="559" t="s">
        <v>432</v>
      </c>
      <c r="C97" s="559">
        <v>38091</v>
      </c>
      <c r="D97" s="560" t="s">
        <v>509</v>
      </c>
      <c r="E97" s="559" t="s">
        <v>9</v>
      </c>
      <c r="F97" s="561">
        <v>1</v>
      </c>
      <c r="G97" s="562">
        <v>2.06</v>
      </c>
      <c r="H97" s="562">
        <f t="shared" si="5"/>
        <v>2.06</v>
      </c>
    </row>
    <row r="98" spans="2:8" ht="27.75" customHeight="1">
      <c r="B98" s="559" t="s">
        <v>432</v>
      </c>
      <c r="C98" s="559">
        <v>11950</v>
      </c>
      <c r="D98" s="560" t="s">
        <v>515</v>
      </c>
      <c r="E98" s="559" t="s">
        <v>9</v>
      </c>
      <c r="F98" s="561">
        <v>2</v>
      </c>
      <c r="G98" s="562">
        <v>0.2</v>
      </c>
      <c r="H98" s="562">
        <f t="shared" si="5"/>
        <v>0.4</v>
      </c>
    </row>
    <row r="99" spans="2:8" ht="24">
      <c r="B99" s="559" t="s">
        <v>438</v>
      </c>
      <c r="C99" s="559" t="s">
        <v>488</v>
      </c>
      <c r="D99" s="560" t="s">
        <v>439</v>
      </c>
      <c r="E99" s="559" t="s">
        <v>279</v>
      </c>
      <c r="F99" s="561">
        <v>0.1</v>
      </c>
      <c r="G99" s="562">
        <v>21.22</v>
      </c>
      <c r="H99" s="562">
        <f t="shared" si="5"/>
        <v>2.1219999999999999</v>
      </c>
    </row>
    <row r="100" spans="2:8">
      <c r="B100" s="559" t="s">
        <v>438</v>
      </c>
      <c r="C100" s="559" t="s">
        <v>489</v>
      </c>
      <c r="D100" s="560" t="s">
        <v>440</v>
      </c>
      <c r="E100" s="559" t="s">
        <v>279</v>
      </c>
      <c r="F100" s="561">
        <v>0.1</v>
      </c>
      <c r="G100" s="562">
        <v>26.92</v>
      </c>
      <c r="H100" s="562">
        <f t="shared" si="5"/>
        <v>2.6920000000000002</v>
      </c>
    </row>
    <row r="101" spans="2:8">
      <c r="B101" s="536"/>
      <c r="C101" s="536"/>
      <c r="D101" s="536"/>
      <c r="E101" s="554"/>
      <c r="F101" s="554"/>
      <c r="G101" s="401" t="s">
        <v>280</v>
      </c>
      <c r="H101" s="402">
        <f>SUM(H96:H100)</f>
        <v>9.0240000000000009</v>
      </c>
    </row>
    <row r="105" spans="2:8">
      <c r="B105" s="542"/>
      <c r="C105" s="543"/>
      <c r="D105" s="545" t="s">
        <v>455</v>
      </c>
      <c r="E105" s="543"/>
      <c r="F105" s="543"/>
      <c r="G105" s="543"/>
      <c r="H105" s="544"/>
    </row>
    <row r="106" spans="2:8" ht="24">
      <c r="B106" s="557" t="s">
        <v>486</v>
      </c>
      <c r="C106" s="557" t="s">
        <v>487</v>
      </c>
      <c r="D106" s="558" t="s">
        <v>514</v>
      </c>
      <c r="E106" s="557"/>
      <c r="F106" s="557"/>
      <c r="G106" s="557" t="s">
        <v>277</v>
      </c>
      <c r="H106" s="557" t="s">
        <v>278</v>
      </c>
    </row>
    <row r="107" spans="2:8" ht="25.5" customHeight="1">
      <c r="B107" s="559" t="s">
        <v>432</v>
      </c>
      <c r="C107" s="559">
        <v>1873</v>
      </c>
      <c r="D107" s="560" t="s">
        <v>512</v>
      </c>
      <c r="E107" s="559" t="s">
        <v>9</v>
      </c>
      <c r="F107" s="561">
        <v>1</v>
      </c>
      <c r="G107" s="562">
        <v>3.47</v>
      </c>
      <c r="H107" s="562">
        <f t="shared" ref="H107:H111" si="6">F107*G107</f>
        <v>3.47</v>
      </c>
    </row>
    <row r="108" spans="2:8" ht="28.5" customHeight="1">
      <c r="B108" s="559" t="s">
        <v>432</v>
      </c>
      <c r="C108" s="559">
        <v>38095</v>
      </c>
      <c r="D108" s="560" t="s">
        <v>510</v>
      </c>
      <c r="E108" s="559" t="s">
        <v>9</v>
      </c>
      <c r="F108" s="561">
        <v>1</v>
      </c>
      <c r="G108" s="562">
        <v>4.3499999999999996</v>
      </c>
      <c r="H108" s="562">
        <f t="shared" si="6"/>
        <v>4.3499999999999996</v>
      </c>
    </row>
    <row r="109" spans="2:8" ht="28.5" customHeight="1">
      <c r="B109" s="559" t="s">
        <v>432</v>
      </c>
      <c r="C109" s="559">
        <v>11950</v>
      </c>
      <c r="D109" s="560" t="s">
        <v>515</v>
      </c>
      <c r="E109" s="559" t="s">
        <v>9</v>
      </c>
      <c r="F109" s="561">
        <v>2</v>
      </c>
      <c r="G109" s="562">
        <v>0.2</v>
      </c>
      <c r="H109" s="562">
        <f t="shared" si="6"/>
        <v>0.4</v>
      </c>
    </row>
    <row r="110" spans="2:8" ht="24">
      <c r="B110" s="559" t="s">
        <v>438</v>
      </c>
      <c r="C110" s="559" t="s">
        <v>488</v>
      </c>
      <c r="D110" s="560" t="s">
        <v>439</v>
      </c>
      <c r="E110" s="559" t="s">
        <v>279</v>
      </c>
      <c r="F110" s="561">
        <v>0.1</v>
      </c>
      <c r="G110" s="562">
        <v>21.22</v>
      </c>
      <c r="H110" s="562">
        <f t="shared" si="6"/>
        <v>2.1219999999999999</v>
      </c>
    </row>
    <row r="111" spans="2:8">
      <c r="B111" s="559" t="s">
        <v>438</v>
      </c>
      <c r="C111" s="559" t="s">
        <v>489</v>
      </c>
      <c r="D111" s="560" t="s">
        <v>440</v>
      </c>
      <c r="E111" s="559" t="s">
        <v>279</v>
      </c>
      <c r="F111" s="561">
        <v>0.1</v>
      </c>
      <c r="G111" s="562">
        <v>26.92</v>
      </c>
      <c r="H111" s="562">
        <f t="shared" si="6"/>
        <v>2.6920000000000002</v>
      </c>
    </row>
    <row r="112" spans="2:8">
      <c r="B112" s="536"/>
      <c r="C112" s="536"/>
      <c r="D112" s="536"/>
      <c r="E112" s="554"/>
      <c r="F112" s="554"/>
      <c r="G112" s="401" t="s">
        <v>280</v>
      </c>
      <c r="H112" s="402">
        <f>SUM(H107:H111)</f>
        <v>13.034000000000001</v>
      </c>
    </row>
    <row r="116" spans="2:8">
      <c r="B116" s="542"/>
      <c r="C116" s="543"/>
      <c r="D116" s="545" t="s">
        <v>520</v>
      </c>
      <c r="E116" s="543"/>
      <c r="F116" s="543"/>
      <c r="G116" s="543"/>
      <c r="H116" s="544"/>
    </row>
    <row r="117" spans="2:8">
      <c r="B117" s="385"/>
      <c r="C117" s="385"/>
      <c r="D117" s="541" t="s">
        <v>517</v>
      </c>
      <c r="E117" s="385"/>
      <c r="F117" s="385"/>
      <c r="G117" s="385"/>
      <c r="H117" s="385"/>
    </row>
    <row r="118" spans="2:8">
      <c r="B118" s="536"/>
      <c r="C118" s="537"/>
      <c r="D118" s="537"/>
      <c r="E118" s="537"/>
      <c r="F118" s="537"/>
      <c r="G118" s="537" t="s">
        <v>277</v>
      </c>
      <c r="H118" s="537" t="s">
        <v>278</v>
      </c>
    </row>
    <row r="119" spans="2:8" ht="60">
      <c r="B119" s="546" t="s">
        <v>438</v>
      </c>
      <c r="C119" s="555" t="s">
        <v>463</v>
      </c>
      <c r="D119" s="547" t="s">
        <v>464</v>
      </c>
      <c r="E119" s="552" t="s">
        <v>5</v>
      </c>
      <c r="F119" s="552">
        <v>0</v>
      </c>
      <c r="G119" s="552">
        <v>52.78</v>
      </c>
      <c r="H119" s="552">
        <f>F119*G119</f>
        <v>0</v>
      </c>
    </row>
    <row r="120" spans="2:8" ht="45">
      <c r="B120" s="546" t="s">
        <v>438</v>
      </c>
      <c r="C120" s="552">
        <v>97627</v>
      </c>
      <c r="D120" s="547" t="s">
        <v>453</v>
      </c>
      <c r="E120" s="552" t="s">
        <v>5</v>
      </c>
      <c r="F120" s="552">
        <v>0.1875</v>
      </c>
      <c r="G120" s="552">
        <v>296.43</v>
      </c>
      <c r="H120" s="553">
        <f t="shared" ref="H120:H123" si="7">F120*G120</f>
        <v>55.580624999999998</v>
      </c>
    </row>
    <row r="121" spans="2:8" ht="75">
      <c r="B121" s="546" t="s">
        <v>438</v>
      </c>
      <c r="C121" s="552" t="s">
        <v>518</v>
      </c>
      <c r="D121" s="547" t="s">
        <v>519</v>
      </c>
      <c r="E121" s="552" t="s">
        <v>10</v>
      </c>
      <c r="F121" s="552">
        <v>1</v>
      </c>
      <c r="G121" s="553">
        <v>31.42</v>
      </c>
      <c r="H121" s="552">
        <f t="shared" si="7"/>
        <v>31.42</v>
      </c>
    </row>
    <row r="122" spans="2:8" ht="45">
      <c r="B122" s="546" t="s">
        <v>438</v>
      </c>
      <c r="C122" s="555">
        <v>92265</v>
      </c>
      <c r="D122" s="547" t="s">
        <v>467</v>
      </c>
      <c r="E122" s="552" t="s">
        <v>0</v>
      </c>
      <c r="F122" s="552">
        <v>1</v>
      </c>
      <c r="G122" s="552">
        <v>124.21</v>
      </c>
      <c r="H122" s="553">
        <f t="shared" si="7"/>
        <v>124.21</v>
      </c>
    </row>
    <row r="123" spans="2:8" ht="60">
      <c r="B123" s="546" t="s">
        <v>438</v>
      </c>
      <c r="C123" s="552">
        <v>94965</v>
      </c>
      <c r="D123" s="547" t="s">
        <v>468</v>
      </c>
      <c r="E123" s="552" t="s">
        <v>5</v>
      </c>
      <c r="F123" s="552">
        <f>0.15*0.15*5</f>
        <v>0.11249999999999999</v>
      </c>
      <c r="G123" s="552">
        <v>475.9</v>
      </c>
      <c r="H123" s="552">
        <f t="shared" si="7"/>
        <v>53.538749999999993</v>
      </c>
    </row>
    <row r="124" spans="2:8">
      <c r="B124" s="536"/>
      <c r="C124" s="536"/>
      <c r="D124" s="536"/>
      <c r="E124" s="554"/>
      <c r="F124" s="554"/>
      <c r="G124" s="401" t="s">
        <v>280</v>
      </c>
      <c r="H124" s="550">
        <f>SUM(H119:H123)</f>
        <v>264.74937499999999</v>
      </c>
    </row>
    <row r="127" spans="2:8">
      <c r="B127" s="542"/>
      <c r="C127" s="543"/>
      <c r="D127" s="545" t="s">
        <v>629</v>
      </c>
      <c r="E127" s="543"/>
      <c r="F127" s="543"/>
      <c r="G127" s="543"/>
      <c r="H127" s="544"/>
    </row>
    <row r="128" spans="2:8" ht="48.75" customHeight="1">
      <c r="B128" s="572"/>
      <c r="C128" s="572" t="s">
        <v>620</v>
      </c>
      <c r="D128" s="558" t="s">
        <v>621</v>
      </c>
      <c r="E128" s="572" t="s">
        <v>5</v>
      </c>
      <c r="F128" s="572" t="s">
        <v>622</v>
      </c>
      <c r="G128" s="572" t="s">
        <v>277</v>
      </c>
      <c r="H128" s="572" t="s">
        <v>278</v>
      </c>
    </row>
    <row r="129" spans="2:8" ht="43.5" customHeight="1">
      <c r="B129" s="585" t="s">
        <v>432</v>
      </c>
      <c r="C129" s="585">
        <v>34494</v>
      </c>
      <c r="D129" s="586" t="s">
        <v>623</v>
      </c>
      <c r="E129" s="585" t="s">
        <v>5</v>
      </c>
      <c r="F129" s="584">
        <v>1.103</v>
      </c>
      <c r="G129" s="584">
        <v>387.79</v>
      </c>
      <c r="H129" s="587">
        <f>F129*G129</f>
        <v>427.73237</v>
      </c>
    </row>
    <row r="130" spans="2:8">
      <c r="B130" s="585" t="s">
        <v>438</v>
      </c>
      <c r="C130" s="585">
        <v>88262</v>
      </c>
      <c r="D130" s="584" t="s">
        <v>624</v>
      </c>
      <c r="E130" s="585" t="s">
        <v>279</v>
      </c>
      <c r="F130" s="584">
        <v>1.8460000000000001</v>
      </c>
      <c r="G130" s="584">
        <v>26.39</v>
      </c>
      <c r="H130" s="587">
        <f t="shared" ref="H130:H134" si="8">F130*G130</f>
        <v>48.715940000000003</v>
      </c>
    </row>
    <row r="131" spans="2:8">
      <c r="B131" s="585" t="s">
        <v>438</v>
      </c>
      <c r="C131" s="585">
        <v>88309</v>
      </c>
      <c r="D131" s="584" t="s">
        <v>355</v>
      </c>
      <c r="E131" s="585" t="s">
        <v>279</v>
      </c>
      <c r="F131" s="584">
        <v>1.8460000000000001</v>
      </c>
      <c r="G131" s="584">
        <v>26.66</v>
      </c>
      <c r="H131" s="587">
        <f t="shared" si="8"/>
        <v>49.214359999999999</v>
      </c>
    </row>
    <row r="132" spans="2:8">
      <c r="B132" s="585" t="s">
        <v>438</v>
      </c>
      <c r="C132" s="585">
        <v>88316</v>
      </c>
      <c r="D132" s="584" t="s">
        <v>282</v>
      </c>
      <c r="E132" s="585" t="s">
        <v>279</v>
      </c>
      <c r="F132" s="584">
        <v>5.5380000000000003</v>
      </c>
      <c r="G132" s="584">
        <v>18.79</v>
      </c>
      <c r="H132" s="587">
        <f t="shared" si="8"/>
        <v>104.05902</v>
      </c>
    </row>
    <row r="133" spans="2:8">
      <c r="B133" s="585" t="s">
        <v>438</v>
      </c>
      <c r="C133" s="585">
        <v>90586</v>
      </c>
      <c r="D133" s="584" t="s">
        <v>625</v>
      </c>
      <c r="E133" s="585" t="s">
        <v>626</v>
      </c>
      <c r="F133" s="584">
        <v>0.67200000000000004</v>
      </c>
      <c r="G133" s="584">
        <v>1.88</v>
      </c>
      <c r="H133" s="587">
        <f t="shared" si="8"/>
        <v>1.26336</v>
      </c>
    </row>
    <row r="134" spans="2:8">
      <c r="B134" s="585" t="s">
        <v>438</v>
      </c>
      <c r="C134" s="585">
        <v>90587</v>
      </c>
      <c r="D134" s="584" t="s">
        <v>627</v>
      </c>
      <c r="E134" s="585" t="s">
        <v>628</v>
      </c>
      <c r="F134" s="584">
        <v>1.1739999999999999</v>
      </c>
      <c r="G134" s="584">
        <v>0.43</v>
      </c>
      <c r="H134" s="587">
        <f t="shared" si="8"/>
        <v>0.50481999999999994</v>
      </c>
    </row>
    <row r="135" spans="2:8">
      <c r="G135" s="495" t="s">
        <v>199</v>
      </c>
      <c r="H135" s="571">
        <f>SUM(H129:H134)</f>
        <v>631.48987</v>
      </c>
    </row>
  </sheetData>
  <mergeCells count="13">
    <mergeCell ref="A10:H10"/>
    <mergeCell ref="A7:C7"/>
    <mergeCell ref="E7:F7"/>
    <mergeCell ref="G7:H7"/>
    <mergeCell ref="A8:D8"/>
    <mergeCell ref="E8:F8"/>
    <mergeCell ref="G8:H8"/>
    <mergeCell ref="A1:E1"/>
    <mergeCell ref="A2:E2"/>
    <mergeCell ref="A3:E3"/>
    <mergeCell ref="E5:F5"/>
    <mergeCell ref="A6:D6"/>
    <mergeCell ref="E6:F6"/>
  </mergeCells>
  <conditionalFormatting sqref="B71:H74 B80:H82">
    <cfRule type="expression" dxfId="33" priority="31" stopIfTrue="1">
      <formula>AND($A71&lt;&gt;"COMPOSICAO",$A71&lt;&gt;"INSUMO",$A71&lt;&gt;"")</formula>
    </cfRule>
    <cfRule type="expression" dxfId="32" priority="32" stopIfTrue="1">
      <formula>AND(OR($A71="COMPOSICAO",$A71="INSUMO",$A71&lt;&gt;""),$A71&lt;&gt;"")</formula>
    </cfRule>
  </conditionalFormatting>
  <conditionalFormatting sqref="C70">
    <cfRule type="expression" dxfId="31" priority="27" stopIfTrue="1">
      <formula>AND($A70&lt;&gt;"COMPOSICAO",$A70&lt;&gt;"INSUMO",$A70&lt;&gt;"")</formula>
    </cfRule>
    <cfRule type="expression" dxfId="30" priority="28" stopIfTrue="1">
      <formula>AND(OR($A70="COMPOSICAO",$A70="INSUMO",$A70&lt;&gt;""),$A70&lt;&gt;"")</formula>
    </cfRule>
  </conditionalFormatting>
  <conditionalFormatting sqref="B70">
    <cfRule type="expression" dxfId="29" priority="29" stopIfTrue="1">
      <formula>AND($A70&lt;&gt;"COMPOSICAO",$A70&lt;&gt;"INSUMO",$A70&lt;&gt;"")</formula>
    </cfRule>
    <cfRule type="expression" dxfId="28" priority="30" stopIfTrue="1">
      <formula>AND(OR($A70="COMPOSICAO",$A70="INSUMO",$A70&lt;&gt;""),$A70&lt;&gt;"")</formula>
    </cfRule>
  </conditionalFormatting>
  <conditionalFormatting sqref="C79">
    <cfRule type="expression" dxfId="27" priority="21" stopIfTrue="1">
      <formula>AND($A79&lt;&gt;"COMPOSICAO",$A79&lt;&gt;"INSUMO",$A79&lt;&gt;"")</formula>
    </cfRule>
    <cfRule type="expression" dxfId="26" priority="22" stopIfTrue="1">
      <formula>AND(OR($A79="COMPOSICAO",$A79="INSUMO",$A79&lt;&gt;""),$A79&lt;&gt;"")</formula>
    </cfRule>
  </conditionalFormatting>
  <conditionalFormatting sqref="B79">
    <cfRule type="expression" dxfId="25" priority="23" stopIfTrue="1">
      <formula>AND($A79&lt;&gt;"COMPOSICAO",$A79&lt;&gt;"INSUMO",$A79&lt;&gt;"")</formula>
    </cfRule>
    <cfRule type="expression" dxfId="24" priority="24" stopIfTrue="1">
      <formula>AND(OR($A79="COMPOSICAO",$A79="INSUMO",$A79&lt;&gt;""),$A79&lt;&gt;"")</formula>
    </cfRule>
  </conditionalFormatting>
  <conditionalFormatting sqref="C95">
    <cfRule type="expression" dxfId="23" priority="9" stopIfTrue="1">
      <formula>AND($A95&lt;&gt;"COMPOSICAO",$A95&lt;&gt;"INSUMO",$A95&lt;&gt;"")</formula>
    </cfRule>
    <cfRule type="expression" dxfId="22" priority="10" stopIfTrue="1">
      <formula>AND(OR($A95="COMPOSICAO",$A95="INSUMO",$A95&lt;&gt;""),$A95&lt;&gt;"")</formula>
    </cfRule>
  </conditionalFormatting>
  <conditionalFormatting sqref="C106">
    <cfRule type="expression" dxfId="21" priority="3" stopIfTrue="1">
      <formula>AND($A106&lt;&gt;"COMPOSICAO",$A106&lt;&gt;"INSUMO",$A106&lt;&gt;"")</formula>
    </cfRule>
    <cfRule type="expression" dxfId="20" priority="4" stopIfTrue="1">
      <formula>AND(OR($A106="COMPOSICAO",$A106="INSUMO",$A106&lt;&gt;""),$A106&lt;&gt;"")</formula>
    </cfRule>
  </conditionalFormatting>
  <conditionalFormatting sqref="B88:H90">
    <cfRule type="expression" dxfId="19" priority="19" stopIfTrue="1">
      <formula>AND($A88&lt;&gt;"COMPOSICAO",$A88&lt;&gt;"INSUMO",$A88&lt;&gt;"")</formula>
    </cfRule>
    <cfRule type="expression" dxfId="18" priority="20" stopIfTrue="1">
      <formula>AND(OR($A88="COMPOSICAO",$A88="INSUMO",$A88&lt;&gt;""),$A88&lt;&gt;"")</formula>
    </cfRule>
  </conditionalFormatting>
  <conditionalFormatting sqref="C87">
    <cfRule type="expression" dxfId="17" priority="15" stopIfTrue="1">
      <formula>AND($A87&lt;&gt;"COMPOSICAO",$A87&lt;&gt;"INSUMO",$A87&lt;&gt;"")</formula>
    </cfRule>
    <cfRule type="expression" dxfId="16" priority="16" stopIfTrue="1">
      <formula>AND(OR($A87="COMPOSICAO",$A87="INSUMO",$A87&lt;&gt;""),$A87&lt;&gt;"")</formula>
    </cfRule>
  </conditionalFormatting>
  <conditionalFormatting sqref="B87">
    <cfRule type="expression" dxfId="15" priority="17" stopIfTrue="1">
      <formula>AND($A87&lt;&gt;"COMPOSICAO",$A87&lt;&gt;"INSUMO",$A87&lt;&gt;"")</formula>
    </cfRule>
    <cfRule type="expression" dxfId="14" priority="18" stopIfTrue="1">
      <formula>AND(OR($A87="COMPOSICAO",$A87="INSUMO",$A87&lt;&gt;""),$A87&lt;&gt;"")</formula>
    </cfRule>
  </conditionalFormatting>
  <conditionalFormatting sqref="B96:H100">
    <cfRule type="expression" dxfId="13" priority="13" stopIfTrue="1">
      <formula>AND($A96&lt;&gt;"COMPOSICAO",$A96&lt;&gt;"INSUMO",$A96&lt;&gt;"")</formula>
    </cfRule>
    <cfRule type="expression" dxfId="12" priority="14" stopIfTrue="1">
      <formula>AND(OR($A96="COMPOSICAO",$A96="INSUMO",$A96&lt;&gt;""),$A96&lt;&gt;"")</formula>
    </cfRule>
  </conditionalFormatting>
  <conditionalFormatting sqref="B95">
    <cfRule type="expression" dxfId="11" priority="11" stopIfTrue="1">
      <formula>AND($A95&lt;&gt;"COMPOSICAO",$A95&lt;&gt;"INSUMO",$A95&lt;&gt;"")</formula>
    </cfRule>
    <cfRule type="expression" dxfId="10" priority="12" stopIfTrue="1">
      <formula>AND(OR($A95="COMPOSICAO",$A95="INSUMO",$A95&lt;&gt;""),$A95&lt;&gt;"")</formula>
    </cfRule>
  </conditionalFormatting>
  <conditionalFormatting sqref="B107:H108 B110:H111 H109">
    <cfRule type="expression" dxfId="9" priority="7" stopIfTrue="1">
      <formula>AND($A107&lt;&gt;"COMPOSICAO",$A107&lt;&gt;"INSUMO",$A107&lt;&gt;"")</formula>
    </cfRule>
    <cfRule type="expression" dxfId="8" priority="8" stopIfTrue="1">
      <formula>AND(OR($A107="COMPOSICAO",$A107="INSUMO",$A107&lt;&gt;""),$A107&lt;&gt;"")</formula>
    </cfRule>
  </conditionalFormatting>
  <conditionalFormatting sqref="B106">
    <cfRule type="expression" dxfId="7" priority="5" stopIfTrue="1">
      <formula>AND($A106&lt;&gt;"COMPOSICAO",$A106&lt;&gt;"INSUMO",$A106&lt;&gt;"")</formula>
    </cfRule>
    <cfRule type="expression" dxfId="6" priority="6" stopIfTrue="1">
      <formula>AND(OR($A106="COMPOSICAO",$A106="INSUMO",$A106&lt;&gt;""),$A106&lt;&gt;"")</formula>
    </cfRule>
  </conditionalFormatting>
  <conditionalFormatting sqref="B109:G109">
    <cfRule type="expression" dxfId="5" priority="1" stopIfTrue="1">
      <formula>AND($A109&lt;&gt;"COMPOSICAO",$A109&lt;&gt;"INSUMO",$A109&lt;&gt;"")</formula>
    </cfRule>
    <cfRule type="expression" dxfId="4" priority="2" stopIfTrue="1">
      <formula>AND(OR($A109="COMPOSICAO",$A109="INSUMO",$A109&lt;&gt;""),$A109&lt;&gt;"")</formula>
    </cfRule>
  </conditionalFormatting>
  <hyperlinks>
    <hyperlink ref="C42" r:id="rId1" display="http://www.lojaeletrica.com.br/"/>
    <hyperlink ref="C39" r:id="rId2"/>
  </hyperlinks>
  <pageMargins left="0.511811024" right="0.511811024" top="0.78740157499999996" bottom="0.78740157499999996" header="0.31496062000000002" footer="0.31496062000000002"/>
  <pageSetup paperSize="9"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>
  <dimension ref="A1:X174"/>
  <sheetViews>
    <sheetView showZeros="0" view="pageBreakPreview" topLeftCell="A67" zoomScaleNormal="70" zoomScaleSheetLayoutView="100" workbookViewId="0">
      <selection activeCell="I3" sqref="I3"/>
    </sheetView>
  </sheetViews>
  <sheetFormatPr defaultColWidth="11.42578125" defaultRowHeight="12.75"/>
  <cols>
    <col min="1" max="1" width="10.85546875" style="204" customWidth="1"/>
    <col min="2" max="2" width="49.140625" style="76" customWidth="1"/>
    <col min="3" max="3" width="16.42578125" style="205" customWidth="1"/>
    <col min="4" max="4" width="12.140625" style="205" customWidth="1"/>
    <col min="5" max="5" width="15.85546875" style="206" customWidth="1"/>
    <col min="6" max="6" width="18.7109375" style="207" customWidth="1"/>
    <col min="7" max="7" width="10.7109375" style="76" customWidth="1"/>
    <col min="8" max="8" width="17.7109375" style="76" customWidth="1"/>
    <col min="9" max="9" width="10.7109375" style="76" customWidth="1"/>
    <col min="10" max="10" width="17.7109375" style="76" customWidth="1"/>
    <col min="11" max="11" width="10.7109375" style="76" customWidth="1"/>
    <col min="12" max="12" width="17.7109375" style="76" customWidth="1"/>
    <col min="13" max="13" width="10.7109375" style="96" customWidth="1"/>
    <col min="14" max="14" width="17.7109375" style="76" customWidth="1"/>
    <col min="15" max="18" width="11.7109375" style="76" hidden="1" customWidth="1"/>
    <col min="19" max="19" width="1" style="76" hidden="1" customWidth="1"/>
    <col min="20" max="20" width="5.7109375" style="76" customWidth="1"/>
    <col min="21" max="21" width="18.28515625" style="77" customWidth="1"/>
    <col min="22" max="22" width="11.42578125" style="77" customWidth="1"/>
    <col min="23" max="23" width="19.140625" style="76" customWidth="1"/>
    <col min="24" max="24" width="14.28515625" style="76" bestFit="1" customWidth="1"/>
    <col min="25" max="256" width="11.42578125" style="76"/>
    <col min="257" max="257" width="10.85546875" style="76" customWidth="1"/>
    <col min="258" max="258" width="49.140625" style="76" customWidth="1"/>
    <col min="259" max="259" width="16.42578125" style="76" customWidth="1"/>
    <col min="260" max="260" width="12.140625" style="76" customWidth="1"/>
    <col min="261" max="261" width="15.85546875" style="76" customWidth="1"/>
    <col min="262" max="262" width="18.7109375" style="76" customWidth="1"/>
    <col min="263" max="263" width="10.7109375" style="76" customWidth="1"/>
    <col min="264" max="264" width="17.7109375" style="76" customWidth="1"/>
    <col min="265" max="265" width="10.7109375" style="76" customWidth="1"/>
    <col min="266" max="266" width="17.7109375" style="76" customWidth="1"/>
    <col min="267" max="267" width="10.7109375" style="76" customWidth="1"/>
    <col min="268" max="268" width="17.7109375" style="76" customWidth="1"/>
    <col min="269" max="269" width="10.7109375" style="76" customWidth="1"/>
    <col min="270" max="270" width="17.7109375" style="76" customWidth="1"/>
    <col min="271" max="275" width="0" style="76" hidden="1" customWidth="1"/>
    <col min="276" max="276" width="5.7109375" style="76" customWidth="1"/>
    <col min="277" max="277" width="18.28515625" style="76" customWidth="1"/>
    <col min="278" max="278" width="11.42578125" style="76" customWidth="1"/>
    <col min="279" max="279" width="19.140625" style="76" customWidth="1"/>
    <col min="280" max="280" width="14.28515625" style="76" bestFit="1" customWidth="1"/>
    <col min="281" max="512" width="11.42578125" style="76"/>
    <col min="513" max="513" width="10.85546875" style="76" customWidth="1"/>
    <col min="514" max="514" width="49.140625" style="76" customWidth="1"/>
    <col min="515" max="515" width="16.42578125" style="76" customWidth="1"/>
    <col min="516" max="516" width="12.140625" style="76" customWidth="1"/>
    <col min="517" max="517" width="15.85546875" style="76" customWidth="1"/>
    <col min="518" max="518" width="18.7109375" style="76" customWidth="1"/>
    <col min="519" max="519" width="10.7109375" style="76" customWidth="1"/>
    <col min="520" max="520" width="17.7109375" style="76" customWidth="1"/>
    <col min="521" max="521" width="10.7109375" style="76" customWidth="1"/>
    <col min="522" max="522" width="17.7109375" style="76" customWidth="1"/>
    <col min="523" max="523" width="10.7109375" style="76" customWidth="1"/>
    <col min="524" max="524" width="17.7109375" style="76" customWidth="1"/>
    <col min="525" max="525" width="10.7109375" style="76" customWidth="1"/>
    <col min="526" max="526" width="17.7109375" style="76" customWidth="1"/>
    <col min="527" max="531" width="0" style="76" hidden="1" customWidth="1"/>
    <col min="532" max="532" width="5.7109375" style="76" customWidth="1"/>
    <col min="533" max="533" width="18.28515625" style="76" customWidth="1"/>
    <col min="534" max="534" width="11.42578125" style="76" customWidth="1"/>
    <col min="535" max="535" width="19.140625" style="76" customWidth="1"/>
    <col min="536" max="536" width="14.28515625" style="76" bestFit="1" customWidth="1"/>
    <col min="537" max="768" width="11.42578125" style="76"/>
    <col min="769" max="769" width="10.85546875" style="76" customWidth="1"/>
    <col min="770" max="770" width="49.140625" style="76" customWidth="1"/>
    <col min="771" max="771" width="16.42578125" style="76" customWidth="1"/>
    <col min="772" max="772" width="12.140625" style="76" customWidth="1"/>
    <col min="773" max="773" width="15.85546875" style="76" customWidth="1"/>
    <col min="774" max="774" width="18.7109375" style="76" customWidth="1"/>
    <col min="775" max="775" width="10.7109375" style="76" customWidth="1"/>
    <col min="776" max="776" width="17.7109375" style="76" customWidth="1"/>
    <col min="777" max="777" width="10.7109375" style="76" customWidth="1"/>
    <col min="778" max="778" width="17.7109375" style="76" customWidth="1"/>
    <col min="779" max="779" width="10.7109375" style="76" customWidth="1"/>
    <col min="780" max="780" width="17.7109375" style="76" customWidth="1"/>
    <col min="781" max="781" width="10.7109375" style="76" customWidth="1"/>
    <col min="782" max="782" width="17.7109375" style="76" customWidth="1"/>
    <col min="783" max="787" width="0" style="76" hidden="1" customWidth="1"/>
    <col min="788" max="788" width="5.7109375" style="76" customWidth="1"/>
    <col min="789" max="789" width="18.28515625" style="76" customWidth="1"/>
    <col min="790" max="790" width="11.42578125" style="76" customWidth="1"/>
    <col min="791" max="791" width="19.140625" style="76" customWidth="1"/>
    <col min="792" max="792" width="14.28515625" style="76" bestFit="1" customWidth="1"/>
    <col min="793" max="1024" width="11.42578125" style="76"/>
    <col min="1025" max="1025" width="10.85546875" style="76" customWidth="1"/>
    <col min="1026" max="1026" width="49.140625" style="76" customWidth="1"/>
    <col min="1027" max="1027" width="16.42578125" style="76" customWidth="1"/>
    <col min="1028" max="1028" width="12.140625" style="76" customWidth="1"/>
    <col min="1029" max="1029" width="15.85546875" style="76" customWidth="1"/>
    <col min="1030" max="1030" width="18.7109375" style="76" customWidth="1"/>
    <col min="1031" max="1031" width="10.7109375" style="76" customWidth="1"/>
    <col min="1032" max="1032" width="17.7109375" style="76" customWidth="1"/>
    <col min="1033" max="1033" width="10.7109375" style="76" customWidth="1"/>
    <col min="1034" max="1034" width="17.7109375" style="76" customWidth="1"/>
    <col min="1035" max="1035" width="10.7109375" style="76" customWidth="1"/>
    <col min="1036" max="1036" width="17.7109375" style="76" customWidth="1"/>
    <col min="1037" max="1037" width="10.7109375" style="76" customWidth="1"/>
    <col min="1038" max="1038" width="17.7109375" style="76" customWidth="1"/>
    <col min="1039" max="1043" width="0" style="76" hidden="1" customWidth="1"/>
    <col min="1044" max="1044" width="5.7109375" style="76" customWidth="1"/>
    <col min="1045" max="1045" width="18.28515625" style="76" customWidth="1"/>
    <col min="1046" max="1046" width="11.42578125" style="76" customWidth="1"/>
    <col min="1047" max="1047" width="19.140625" style="76" customWidth="1"/>
    <col min="1048" max="1048" width="14.28515625" style="76" bestFit="1" customWidth="1"/>
    <col min="1049" max="1280" width="11.42578125" style="76"/>
    <col min="1281" max="1281" width="10.85546875" style="76" customWidth="1"/>
    <col min="1282" max="1282" width="49.140625" style="76" customWidth="1"/>
    <col min="1283" max="1283" width="16.42578125" style="76" customWidth="1"/>
    <col min="1284" max="1284" width="12.140625" style="76" customWidth="1"/>
    <col min="1285" max="1285" width="15.85546875" style="76" customWidth="1"/>
    <col min="1286" max="1286" width="18.7109375" style="76" customWidth="1"/>
    <col min="1287" max="1287" width="10.7109375" style="76" customWidth="1"/>
    <col min="1288" max="1288" width="17.7109375" style="76" customWidth="1"/>
    <col min="1289" max="1289" width="10.7109375" style="76" customWidth="1"/>
    <col min="1290" max="1290" width="17.7109375" style="76" customWidth="1"/>
    <col min="1291" max="1291" width="10.7109375" style="76" customWidth="1"/>
    <col min="1292" max="1292" width="17.7109375" style="76" customWidth="1"/>
    <col min="1293" max="1293" width="10.7109375" style="76" customWidth="1"/>
    <col min="1294" max="1294" width="17.7109375" style="76" customWidth="1"/>
    <col min="1295" max="1299" width="0" style="76" hidden="1" customWidth="1"/>
    <col min="1300" max="1300" width="5.7109375" style="76" customWidth="1"/>
    <col min="1301" max="1301" width="18.28515625" style="76" customWidth="1"/>
    <col min="1302" max="1302" width="11.42578125" style="76" customWidth="1"/>
    <col min="1303" max="1303" width="19.140625" style="76" customWidth="1"/>
    <col min="1304" max="1304" width="14.28515625" style="76" bestFit="1" customWidth="1"/>
    <col min="1305" max="1536" width="11.42578125" style="76"/>
    <col min="1537" max="1537" width="10.85546875" style="76" customWidth="1"/>
    <col min="1538" max="1538" width="49.140625" style="76" customWidth="1"/>
    <col min="1539" max="1539" width="16.42578125" style="76" customWidth="1"/>
    <col min="1540" max="1540" width="12.140625" style="76" customWidth="1"/>
    <col min="1541" max="1541" width="15.85546875" style="76" customWidth="1"/>
    <col min="1542" max="1542" width="18.7109375" style="76" customWidth="1"/>
    <col min="1543" max="1543" width="10.7109375" style="76" customWidth="1"/>
    <col min="1544" max="1544" width="17.7109375" style="76" customWidth="1"/>
    <col min="1545" max="1545" width="10.7109375" style="76" customWidth="1"/>
    <col min="1546" max="1546" width="17.7109375" style="76" customWidth="1"/>
    <col min="1547" max="1547" width="10.7109375" style="76" customWidth="1"/>
    <col min="1548" max="1548" width="17.7109375" style="76" customWidth="1"/>
    <col min="1549" max="1549" width="10.7109375" style="76" customWidth="1"/>
    <col min="1550" max="1550" width="17.7109375" style="76" customWidth="1"/>
    <col min="1551" max="1555" width="0" style="76" hidden="1" customWidth="1"/>
    <col min="1556" max="1556" width="5.7109375" style="76" customWidth="1"/>
    <col min="1557" max="1557" width="18.28515625" style="76" customWidth="1"/>
    <col min="1558" max="1558" width="11.42578125" style="76" customWidth="1"/>
    <col min="1559" max="1559" width="19.140625" style="76" customWidth="1"/>
    <col min="1560" max="1560" width="14.28515625" style="76" bestFit="1" customWidth="1"/>
    <col min="1561" max="1792" width="11.42578125" style="76"/>
    <col min="1793" max="1793" width="10.85546875" style="76" customWidth="1"/>
    <col min="1794" max="1794" width="49.140625" style="76" customWidth="1"/>
    <col min="1795" max="1795" width="16.42578125" style="76" customWidth="1"/>
    <col min="1796" max="1796" width="12.140625" style="76" customWidth="1"/>
    <col min="1797" max="1797" width="15.85546875" style="76" customWidth="1"/>
    <col min="1798" max="1798" width="18.7109375" style="76" customWidth="1"/>
    <col min="1799" max="1799" width="10.7109375" style="76" customWidth="1"/>
    <col min="1800" max="1800" width="17.7109375" style="76" customWidth="1"/>
    <col min="1801" max="1801" width="10.7109375" style="76" customWidth="1"/>
    <col min="1802" max="1802" width="17.7109375" style="76" customWidth="1"/>
    <col min="1803" max="1803" width="10.7109375" style="76" customWidth="1"/>
    <col min="1804" max="1804" width="17.7109375" style="76" customWidth="1"/>
    <col min="1805" max="1805" width="10.7109375" style="76" customWidth="1"/>
    <col min="1806" max="1806" width="17.7109375" style="76" customWidth="1"/>
    <col min="1807" max="1811" width="0" style="76" hidden="1" customWidth="1"/>
    <col min="1812" max="1812" width="5.7109375" style="76" customWidth="1"/>
    <col min="1813" max="1813" width="18.28515625" style="76" customWidth="1"/>
    <col min="1814" max="1814" width="11.42578125" style="76" customWidth="1"/>
    <col min="1815" max="1815" width="19.140625" style="76" customWidth="1"/>
    <col min="1816" max="1816" width="14.28515625" style="76" bestFit="1" customWidth="1"/>
    <col min="1817" max="2048" width="11.42578125" style="76"/>
    <col min="2049" max="2049" width="10.85546875" style="76" customWidth="1"/>
    <col min="2050" max="2050" width="49.140625" style="76" customWidth="1"/>
    <col min="2051" max="2051" width="16.42578125" style="76" customWidth="1"/>
    <col min="2052" max="2052" width="12.140625" style="76" customWidth="1"/>
    <col min="2053" max="2053" width="15.85546875" style="76" customWidth="1"/>
    <col min="2054" max="2054" width="18.7109375" style="76" customWidth="1"/>
    <col min="2055" max="2055" width="10.7109375" style="76" customWidth="1"/>
    <col min="2056" max="2056" width="17.7109375" style="76" customWidth="1"/>
    <col min="2057" max="2057" width="10.7109375" style="76" customWidth="1"/>
    <col min="2058" max="2058" width="17.7109375" style="76" customWidth="1"/>
    <col min="2059" max="2059" width="10.7109375" style="76" customWidth="1"/>
    <col min="2060" max="2060" width="17.7109375" style="76" customWidth="1"/>
    <col min="2061" max="2061" width="10.7109375" style="76" customWidth="1"/>
    <col min="2062" max="2062" width="17.7109375" style="76" customWidth="1"/>
    <col min="2063" max="2067" width="0" style="76" hidden="1" customWidth="1"/>
    <col min="2068" max="2068" width="5.7109375" style="76" customWidth="1"/>
    <col min="2069" max="2069" width="18.28515625" style="76" customWidth="1"/>
    <col min="2070" max="2070" width="11.42578125" style="76" customWidth="1"/>
    <col min="2071" max="2071" width="19.140625" style="76" customWidth="1"/>
    <col min="2072" max="2072" width="14.28515625" style="76" bestFit="1" customWidth="1"/>
    <col min="2073" max="2304" width="11.42578125" style="76"/>
    <col min="2305" max="2305" width="10.85546875" style="76" customWidth="1"/>
    <col min="2306" max="2306" width="49.140625" style="76" customWidth="1"/>
    <col min="2307" max="2307" width="16.42578125" style="76" customWidth="1"/>
    <col min="2308" max="2308" width="12.140625" style="76" customWidth="1"/>
    <col min="2309" max="2309" width="15.85546875" style="76" customWidth="1"/>
    <col min="2310" max="2310" width="18.7109375" style="76" customWidth="1"/>
    <col min="2311" max="2311" width="10.7109375" style="76" customWidth="1"/>
    <col min="2312" max="2312" width="17.7109375" style="76" customWidth="1"/>
    <col min="2313" max="2313" width="10.7109375" style="76" customWidth="1"/>
    <col min="2314" max="2314" width="17.7109375" style="76" customWidth="1"/>
    <col min="2315" max="2315" width="10.7109375" style="76" customWidth="1"/>
    <col min="2316" max="2316" width="17.7109375" style="76" customWidth="1"/>
    <col min="2317" max="2317" width="10.7109375" style="76" customWidth="1"/>
    <col min="2318" max="2318" width="17.7109375" style="76" customWidth="1"/>
    <col min="2319" max="2323" width="0" style="76" hidden="1" customWidth="1"/>
    <col min="2324" max="2324" width="5.7109375" style="76" customWidth="1"/>
    <col min="2325" max="2325" width="18.28515625" style="76" customWidth="1"/>
    <col min="2326" max="2326" width="11.42578125" style="76" customWidth="1"/>
    <col min="2327" max="2327" width="19.140625" style="76" customWidth="1"/>
    <col min="2328" max="2328" width="14.28515625" style="76" bestFit="1" customWidth="1"/>
    <col min="2329" max="2560" width="11.42578125" style="76"/>
    <col min="2561" max="2561" width="10.85546875" style="76" customWidth="1"/>
    <col min="2562" max="2562" width="49.140625" style="76" customWidth="1"/>
    <col min="2563" max="2563" width="16.42578125" style="76" customWidth="1"/>
    <col min="2564" max="2564" width="12.140625" style="76" customWidth="1"/>
    <col min="2565" max="2565" width="15.85546875" style="76" customWidth="1"/>
    <col min="2566" max="2566" width="18.7109375" style="76" customWidth="1"/>
    <col min="2567" max="2567" width="10.7109375" style="76" customWidth="1"/>
    <col min="2568" max="2568" width="17.7109375" style="76" customWidth="1"/>
    <col min="2569" max="2569" width="10.7109375" style="76" customWidth="1"/>
    <col min="2570" max="2570" width="17.7109375" style="76" customWidth="1"/>
    <col min="2571" max="2571" width="10.7109375" style="76" customWidth="1"/>
    <col min="2572" max="2572" width="17.7109375" style="76" customWidth="1"/>
    <col min="2573" max="2573" width="10.7109375" style="76" customWidth="1"/>
    <col min="2574" max="2574" width="17.7109375" style="76" customWidth="1"/>
    <col min="2575" max="2579" width="0" style="76" hidden="1" customWidth="1"/>
    <col min="2580" max="2580" width="5.7109375" style="76" customWidth="1"/>
    <col min="2581" max="2581" width="18.28515625" style="76" customWidth="1"/>
    <col min="2582" max="2582" width="11.42578125" style="76" customWidth="1"/>
    <col min="2583" max="2583" width="19.140625" style="76" customWidth="1"/>
    <col min="2584" max="2584" width="14.28515625" style="76" bestFit="1" customWidth="1"/>
    <col min="2585" max="2816" width="11.42578125" style="76"/>
    <col min="2817" max="2817" width="10.85546875" style="76" customWidth="1"/>
    <col min="2818" max="2818" width="49.140625" style="76" customWidth="1"/>
    <col min="2819" max="2819" width="16.42578125" style="76" customWidth="1"/>
    <col min="2820" max="2820" width="12.140625" style="76" customWidth="1"/>
    <col min="2821" max="2821" width="15.85546875" style="76" customWidth="1"/>
    <col min="2822" max="2822" width="18.7109375" style="76" customWidth="1"/>
    <col min="2823" max="2823" width="10.7109375" style="76" customWidth="1"/>
    <col min="2824" max="2824" width="17.7109375" style="76" customWidth="1"/>
    <col min="2825" max="2825" width="10.7109375" style="76" customWidth="1"/>
    <col min="2826" max="2826" width="17.7109375" style="76" customWidth="1"/>
    <col min="2827" max="2827" width="10.7109375" style="76" customWidth="1"/>
    <col min="2828" max="2828" width="17.7109375" style="76" customWidth="1"/>
    <col min="2829" max="2829" width="10.7109375" style="76" customWidth="1"/>
    <col min="2830" max="2830" width="17.7109375" style="76" customWidth="1"/>
    <col min="2831" max="2835" width="0" style="76" hidden="1" customWidth="1"/>
    <col min="2836" max="2836" width="5.7109375" style="76" customWidth="1"/>
    <col min="2837" max="2837" width="18.28515625" style="76" customWidth="1"/>
    <col min="2838" max="2838" width="11.42578125" style="76" customWidth="1"/>
    <col min="2839" max="2839" width="19.140625" style="76" customWidth="1"/>
    <col min="2840" max="2840" width="14.28515625" style="76" bestFit="1" customWidth="1"/>
    <col min="2841" max="3072" width="11.42578125" style="76"/>
    <col min="3073" max="3073" width="10.85546875" style="76" customWidth="1"/>
    <col min="3074" max="3074" width="49.140625" style="76" customWidth="1"/>
    <col min="3075" max="3075" width="16.42578125" style="76" customWidth="1"/>
    <col min="3076" max="3076" width="12.140625" style="76" customWidth="1"/>
    <col min="3077" max="3077" width="15.85546875" style="76" customWidth="1"/>
    <col min="3078" max="3078" width="18.7109375" style="76" customWidth="1"/>
    <col min="3079" max="3079" width="10.7109375" style="76" customWidth="1"/>
    <col min="3080" max="3080" width="17.7109375" style="76" customWidth="1"/>
    <col min="3081" max="3081" width="10.7109375" style="76" customWidth="1"/>
    <col min="3082" max="3082" width="17.7109375" style="76" customWidth="1"/>
    <col min="3083" max="3083" width="10.7109375" style="76" customWidth="1"/>
    <col min="3084" max="3084" width="17.7109375" style="76" customWidth="1"/>
    <col min="3085" max="3085" width="10.7109375" style="76" customWidth="1"/>
    <col min="3086" max="3086" width="17.7109375" style="76" customWidth="1"/>
    <col min="3087" max="3091" width="0" style="76" hidden="1" customWidth="1"/>
    <col min="3092" max="3092" width="5.7109375" style="76" customWidth="1"/>
    <col min="3093" max="3093" width="18.28515625" style="76" customWidth="1"/>
    <col min="3094" max="3094" width="11.42578125" style="76" customWidth="1"/>
    <col min="3095" max="3095" width="19.140625" style="76" customWidth="1"/>
    <col min="3096" max="3096" width="14.28515625" style="76" bestFit="1" customWidth="1"/>
    <col min="3097" max="3328" width="11.42578125" style="76"/>
    <col min="3329" max="3329" width="10.85546875" style="76" customWidth="1"/>
    <col min="3330" max="3330" width="49.140625" style="76" customWidth="1"/>
    <col min="3331" max="3331" width="16.42578125" style="76" customWidth="1"/>
    <col min="3332" max="3332" width="12.140625" style="76" customWidth="1"/>
    <col min="3333" max="3333" width="15.85546875" style="76" customWidth="1"/>
    <col min="3334" max="3334" width="18.7109375" style="76" customWidth="1"/>
    <col min="3335" max="3335" width="10.7109375" style="76" customWidth="1"/>
    <col min="3336" max="3336" width="17.7109375" style="76" customWidth="1"/>
    <col min="3337" max="3337" width="10.7109375" style="76" customWidth="1"/>
    <col min="3338" max="3338" width="17.7109375" style="76" customWidth="1"/>
    <col min="3339" max="3339" width="10.7109375" style="76" customWidth="1"/>
    <col min="3340" max="3340" width="17.7109375" style="76" customWidth="1"/>
    <col min="3341" max="3341" width="10.7109375" style="76" customWidth="1"/>
    <col min="3342" max="3342" width="17.7109375" style="76" customWidth="1"/>
    <col min="3343" max="3347" width="0" style="76" hidden="1" customWidth="1"/>
    <col min="3348" max="3348" width="5.7109375" style="76" customWidth="1"/>
    <col min="3349" max="3349" width="18.28515625" style="76" customWidth="1"/>
    <col min="3350" max="3350" width="11.42578125" style="76" customWidth="1"/>
    <col min="3351" max="3351" width="19.140625" style="76" customWidth="1"/>
    <col min="3352" max="3352" width="14.28515625" style="76" bestFit="1" customWidth="1"/>
    <col min="3353" max="3584" width="11.42578125" style="76"/>
    <col min="3585" max="3585" width="10.85546875" style="76" customWidth="1"/>
    <col min="3586" max="3586" width="49.140625" style="76" customWidth="1"/>
    <col min="3587" max="3587" width="16.42578125" style="76" customWidth="1"/>
    <col min="3588" max="3588" width="12.140625" style="76" customWidth="1"/>
    <col min="3589" max="3589" width="15.85546875" style="76" customWidth="1"/>
    <col min="3590" max="3590" width="18.7109375" style="76" customWidth="1"/>
    <col min="3591" max="3591" width="10.7109375" style="76" customWidth="1"/>
    <col min="3592" max="3592" width="17.7109375" style="76" customWidth="1"/>
    <col min="3593" max="3593" width="10.7109375" style="76" customWidth="1"/>
    <col min="3594" max="3594" width="17.7109375" style="76" customWidth="1"/>
    <col min="3595" max="3595" width="10.7109375" style="76" customWidth="1"/>
    <col min="3596" max="3596" width="17.7109375" style="76" customWidth="1"/>
    <col min="3597" max="3597" width="10.7109375" style="76" customWidth="1"/>
    <col min="3598" max="3598" width="17.7109375" style="76" customWidth="1"/>
    <col min="3599" max="3603" width="0" style="76" hidden="1" customWidth="1"/>
    <col min="3604" max="3604" width="5.7109375" style="76" customWidth="1"/>
    <col min="3605" max="3605" width="18.28515625" style="76" customWidth="1"/>
    <col min="3606" max="3606" width="11.42578125" style="76" customWidth="1"/>
    <col min="3607" max="3607" width="19.140625" style="76" customWidth="1"/>
    <col min="3608" max="3608" width="14.28515625" style="76" bestFit="1" customWidth="1"/>
    <col min="3609" max="3840" width="11.42578125" style="76"/>
    <col min="3841" max="3841" width="10.85546875" style="76" customWidth="1"/>
    <col min="3842" max="3842" width="49.140625" style="76" customWidth="1"/>
    <col min="3843" max="3843" width="16.42578125" style="76" customWidth="1"/>
    <col min="3844" max="3844" width="12.140625" style="76" customWidth="1"/>
    <col min="3845" max="3845" width="15.85546875" style="76" customWidth="1"/>
    <col min="3846" max="3846" width="18.7109375" style="76" customWidth="1"/>
    <col min="3847" max="3847" width="10.7109375" style="76" customWidth="1"/>
    <col min="3848" max="3848" width="17.7109375" style="76" customWidth="1"/>
    <col min="3849" max="3849" width="10.7109375" style="76" customWidth="1"/>
    <col min="3850" max="3850" width="17.7109375" style="76" customWidth="1"/>
    <col min="3851" max="3851" width="10.7109375" style="76" customWidth="1"/>
    <col min="3852" max="3852" width="17.7109375" style="76" customWidth="1"/>
    <col min="3853" max="3853" width="10.7109375" style="76" customWidth="1"/>
    <col min="3854" max="3854" width="17.7109375" style="76" customWidth="1"/>
    <col min="3855" max="3859" width="0" style="76" hidden="1" customWidth="1"/>
    <col min="3860" max="3860" width="5.7109375" style="76" customWidth="1"/>
    <col min="3861" max="3861" width="18.28515625" style="76" customWidth="1"/>
    <col min="3862" max="3862" width="11.42578125" style="76" customWidth="1"/>
    <col min="3863" max="3863" width="19.140625" style="76" customWidth="1"/>
    <col min="3864" max="3864" width="14.28515625" style="76" bestFit="1" customWidth="1"/>
    <col min="3865" max="4096" width="11.42578125" style="76"/>
    <col min="4097" max="4097" width="10.85546875" style="76" customWidth="1"/>
    <col min="4098" max="4098" width="49.140625" style="76" customWidth="1"/>
    <col min="4099" max="4099" width="16.42578125" style="76" customWidth="1"/>
    <col min="4100" max="4100" width="12.140625" style="76" customWidth="1"/>
    <col min="4101" max="4101" width="15.85546875" style="76" customWidth="1"/>
    <col min="4102" max="4102" width="18.7109375" style="76" customWidth="1"/>
    <col min="4103" max="4103" width="10.7109375" style="76" customWidth="1"/>
    <col min="4104" max="4104" width="17.7109375" style="76" customWidth="1"/>
    <col min="4105" max="4105" width="10.7109375" style="76" customWidth="1"/>
    <col min="4106" max="4106" width="17.7109375" style="76" customWidth="1"/>
    <col min="4107" max="4107" width="10.7109375" style="76" customWidth="1"/>
    <col min="4108" max="4108" width="17.7109375" style="76" customWidth="1"/>
    <col min="4109" max="4109" width="10.7109375" style="76" customWidth="1"/>
    <col min="4110" max="4110" width="17.7109375" style="76" customWidth="1"/>
    <col min="4111" max="4115" width="0" style="76" hidden="1" customWidth="1"/>
    <col min="4116" max="4116" width="5.7109375" style="76" customWidth="1"/>
    <col min="4117" max="4117" width="18.28515625" style="76" customWidth="1"/>
    <col min="4118" max="4118" width="11.42578125" style="76" customWidth="1"/>
    <col min="4119" max="4119" width="19.140625" style="76" customWidth="1"/>
    <col min="4120" max="4120" width="14.28515625" style="76" bestFit="1" customWidth="1"/>
    <col min="4121" max="4352" width="11.42578125" style="76"/>
    <col min="4353" max="4353" width="10.85546875" style="76" customWidth="1"/>
    <col min="4354" max="4354" width="49.140625" style="76" customWidth="1"/>
    <col min="4355" max="4355" width="16.42578125" style="76" customWidth="1"/>
    <col min="4356" max="4356" width="12.140625" style="76" customWidth="1"/>
    <col min="4357" max="4357" width="15.85546875" style="76" customWidth="1"/>
    <col min="4358" max="4358" width="18.7109375" style="76" customWidth="1"/>
    <col min="4359" max="4359" width="10.7109375" style="76" customWidth="1"/>
    <col min="4360" max="4360" width="17.7109375" style="76" customWidth="1"/>
    <col min="4361" max="4361" width="10.7109375" style="76" customWidth="1"/>
    <col min="4362" max="4362" width="17.7109375" style="76" customWidth="1"/>
    <col min="4363" max="4363" width="10.7109375" style="76" customWidth="1"/>
    <col min="4364" max="4364" width="17.7109375" style="76" customWidth="1"/>
    <col min="4365" max="4365" width="10.7109375" style="76" customWidth="1"/>
    <col min="4366" max="4366" width="17.7109375" style="76" customWidth="1"/>
    <col min="4367" max="4371" width="0" style="76" hidden="1" customWidth="1"/>
    <col min="4372" max="4372" width="5.7109375" style="76" customWidth="1"/>
    <col min="4373" max="4373" width="18.28515625" style="76" customWidth="1"/>
    <col min="4374" max="4374" width="11.42578125" style="76" customWidth="1"/>
    <col min="4375" max="4375" width="19.140625" style="76" customWidth="1"/>
    <col min="4376" max="4376" width="14.28515625" style="76" bestFit="1" customWidth="1"/>
    <col min="4377" max="4608" width="11.42578125" style="76"/>
    <col min="4609" max="4609" width="10.85546875" style="76" customWidth="1"/>
    <col min="4610" max="4610" width="49.140625" style="76" customWidth="1"/>
    <col min="4611" max="4611" width="16.42578125" style="76" customWidth="1"/>
    <col min="4612" max="4612" width="12.140625" style="76" customWidth="1"/>
    <col min="4613" max="4613" width="15.85546875" style="76" customWidth="1"/>
    <col min="4614" max="4614" width="18.7109375" style="76" customWidth="1"/>
    <col min="4615" max="4615" width="10.7109375" style="76" customWidth="1"/>
    <col min="4616" max="4616" width="17.7109375" style="76" customWidth="1"/>
    <col min="4617" max="4617" width="10.7109375" style="76" customWidth="1"/>
    <col min="4618" max="4618" width="17.7109375" style="76" customWidth="1"/>
    <col min="4619" max="4619" width="10.7109375" style="76" customWidth="1"/>
    <col min="4620" max="4620" width="17.7109375" style="76" customWidth="1"/>
    <col min="4621" max="4621" width="10.7109375" style="76" customWidth="1"/>
    <col min="4622" max="4622" width="17.7109375" style="76" customWidth="1"/>
    <col min="4623" max="4627" width="0" style="76" hidden="1" customWidth="1"/>
    <col min="4628" max="4628" width="5.7109375" style="76" customWidth="1"/>
    <col min="4629" max="4629" width="18.28515625" style="76" customWidth="1"/>
    <col min="4630" max="4630" width="11.42578125" style="76" customWidth="1"/>
    <col min="4631" max="4631" width="19.140625" style="76" customWidth="1"/>
    <col min="4632" max="4632" width="14.28515625" style="76" bestFit="1" customWidth="1"/>
    <col min="4633" max="4864" width="11.42578125" style="76"/>
    <col min="4865" max="4865" width="10.85546875" style="76" customWidth="1"/>
    <col min="4866" max="4866" width="49.140625" style="76" customWidth="1"/>
    <col min="4867" max="4867" width="16.42578125" style="76" customWidth="1"/>
    <col min="4868" max="4868" width="12.140625" style="76" customWidth="1"/>
    <col min="4869" max="4869" width="15.85546875" style="76" customWidth="1"/>
    <col min="4870" max="4870" width="18.7109375" style="76" customWidth="1"/>
    <col min="4871" max="4871" width="10.7109375" style="76" customWidth="1"/>
    <col min="4872" max="4872" width="17.7109375" style="76" customWidth="1"/>
    <col min="4873" max="4873" width="10.7109375" style="76" customWidth="1"/>
    <col min="4874" max="4874" width="17.7109375" style="76" customWidth="1"/>
    <col min="4875" max="4875" width="10.7109375" style="76" customWidth="1"/>
    <col min="4876" max="4876" width="17.7109375" style="76" customWidth="1"/>
    <col min="4877" max="4877" width="10.7109375" style="76" customWidth="1"/>
    <col min="4878" max="4878" width="17.7109375" style="76" customWidth="1"/>
    <col min="4879" max="4883" width="0" style="76" hidden="1" customWidth="1"/>
    <col min="4884" max="4884" width="5.7109375" style="76" customWidth="1"/>
    <col min="4885" max="4885" width="18.28515625" style="76" customWidth="1"/>
    <col min="4886" max="4886" width="11.42578125" style="76" customWidth="1"/>
    <col min="4887" max="4887" width="19.140625" style="76" customWidth="1"/>
    <col min="4888" max="4888" width="14.28515625" style="76" bestFit="1" customWidth="1"/>
    <col min="4889" max="5120" width="11.42578125" style="76"/>
    <col min="5121" max="5121" width="10.85546875" style="76" customWidth="1"/>
    <col min="5122" max="5122" width="49.140625" style="76" customWidth="1"/>
    <col min="5123" max="5123" width="16.42578125" style="76" customWidth="1"/>
    <col min="5124" max="5124" width="12.140625" style="76" customWidth="1"/>
    <col min="5125" max="5125" width="15.85546875" style="76" customWidth="1"/>
    <col min="5126" max="5126" width="18.7109375" style="76" customWidth="1"/>
    <col min="5127" max="5127" width="10.7109375" style="76" customWidth="1"/>
    <col min="5128" max="5128" width="17.7109375" style="76" customWidth="1"/>
    <col min="5129" max="5129" width="10.7109375" style="76" customWidth="1"/>
    <col min="5130" max="5130" width="17.7109375" style="76" customWidth="1"/>
    <col min="5131" max="5131" width="10.7109375" style="76" customWidth="1"/>
    <col min="5132" max="5132" width="17.7109375" style="76" customWidth="1"/>
    <col min="5133" max="5133" width="10.7109375" style="76" customWidth="1"/>
    <col min="5134" max="5134" width="17.7109375" style="76" customWidth="1"/>
    <col min="5135" max="5139" width="0" style="76" hidden="1" customWidth="1"/>
    <col min="5140" max="5140" width="5.7109375" style="76" customWidth="1"/>
    <col min="5141" max="5141" width="18.28515625" style="76" customWidth="1"/>
    <col min="5142" max="5142" width="11.42578125" style="76" customWidth="1"/>
    <col min="5143" max="5143" width="19.140625" style="76" customWidth="1"/>
    <col min="5144" max="5144" width="14.28515625" style="76" bestFit="1" customWidth="1"/>
    <col min="5145" max="5376" width="11.42578125" style="76"/>
    <col min="5377" max="5377" width="10.85546875" style="76" customWidth="1"/>
    <col min="5378" max="5378" width="49.140625" style="76" customWidth="1"/>
    <col min="5379" max="5379" width="16.42578125" style="76" customWidth="1"/>
    <col min="5380" max="5380" width="12.140625" style="76" customWidth="1"/>
    <col min="5381" max="5381" width="15.85546875" style="76" customWidth="1"/>
    <col min="5382" max="5382" width="18.7109375" style="76" customWidth="1"/>
    <col min="5383" max="5383" width="10.7109375" style="76" customWidth="1"/>
    <col min="5384" max="5384" width="17.7109375" style="76" customWidth="1"/>
    <col min="5385" max="5385" width="10.7109375" style="76" customWidth="1"/>
    <col min="5386" max="5386" width="17.7109375" style="76" customWidth="1"/>
    <col min="5387" max="5387" width="10.7109375" style="76" customWidth="1"/>
    <col min="5388" max="5388" width="17.7109375" style="76" customWidth="1"/>
    <col min="5389" max="5389" width="10.7109375" style="76" customWidth="1"/>
    <col min="5390" max="5390" width="17.7109375" style="76" customWidth="1"/>
    <col min="5391" max="5395" width="0" style="76" hidden="1" customWidth="1"/>
    <col min="5396" max="5396" width="5.7109375" style="76" customWidth="1"/>
    <col min="5397" max="5397" width="18.28515625" style="76" customWidth="1"/>
    <col min="5398" max="5398" width="11.42578125" style="76" customWidth="1"/>
    <col min="5399" max="5399" width="19.140625" style="76" customWidth="1"/>
    <col min="5400" max="5400" width="14.28515625" style="76" bestFit="1" customWidth="1"/>
    <col min="5401" max="5632" width="11.42578125" style="76"/>
    <col min="5633" max="5633" width="10.85546875" style="76" customWidth="1"/>
    <col min="5634" max="5634" width="49.140625" style="76" customWidth="1"/>
    <col min="5635" max="5635" width="16.42578125" style="76" customWidth="1"/>
    <col min="5636" max="5636" width="12.140625" style="76" customWidth="1"/>
    <col min="5637" max="5637" width="15.85546875" style="76" customWidth="1"/>
    <col min="5638" max="5638" width="18.7109375" style="76" customWidth="1"/>
    <col min="5639" max="5639" width="10.7109375" style="76" customWidth="1"/>
    <col min="5640" max="5640" width="17.7109375" style="76" customWidth="1"/>
    <col min="5641" max="5641" width="10.7109375" style="76" customWidth="1"/>
    <col min="5642" max="5642" width="17.7109375" style="76" customWidth="1"/>
    <col min="5643" max="5643" width="10.7109375" style="76" customWidth="1"/>
    <col min="5644" max="5644" width="17.7109375" style="76" customWidth="1"/>
    <col min="5645" max="5645" width="10.7109375" style="76" customWidth="1"/>
    <col min="5646" max="5646" width="17.7109375" style="76" customWidth="1"/>
    <col min="5647" max="5651" width="0" style="76" hidden="1" customWidth="1"/>
    <col min="5652" max="5652" width="5.7109375" style="76" customWidth="1"/>
    <col min="5653" max="5653" width="18.28515625" style="76" customWidth="1"/>
    <col min="5654" max="5654" width="11.42578125" style="76" customWidth="1"/>
    <col min="5655" max="5655" width="19.140625" style="76" customWidth="1"/>
    <col min="5656" max="5656" width="14.28515625" style="76" bestFit="1" customWidth="1"/>
    <col min="5657" max="5888" width="11.42578125" style="76"/>
    <col min="5889" max="5889" width="10.85546875" style="76" customWidth="1"/>
    <col min="5890" max="5890" width="49.140625" style="76" customWidth="1"/>
    <col min="5891" max="5891" width="16.42578125" style="76" customWidth="1"/>
    <col min="5892" max="5892" width="12.140625" style="76" customWidth="1"/>
    <col min="5893" max="5893" width="15.85546875" style="76" customWidth="1"/>
    <col min="5894" max="5894" width="18.7109375" style="76" customWidth="1"/>
    <col min="5895" max="5895" width="10.7109375" style="76" customWidth="1"/>
    <col min="5896" max="5896" width="17.7109375" style="76" customWidth="1"/>
    <col min="5897" max="5897" width="10.7109375" style="76" customWidth="1"/>
    <col min="5898" max="5898" width="17.7109375" style="76" customWidth="1"/>
    <col min="5899" max="5899" width="10.7109375" style="76" customWidth="1"/>
    <col min="5900" max="5900" width="17.7109375" style="76" customWidth="1"/>
    <col min="5901" max="5901" width="10.7109375" style="76" customWidth="1"/>
    <col min="5902" max="5902" width="17.7109375" style="76" customWidth="1"/>
    <col min="5903" max="5907" width="0" style="76" hidden="1" customWidth="1"/>
    <col min="5908" max="5908" width="5.7109375" style="76" customWidth="1"/>
    <col min="5909" max="5909" width="18.28515625" style="76" customWidth="1"/>
    <col min="5910" max="5910" width="11.42578125" style="76" customWidth="1"/>
    <col min="5911" max="5911" width="19.140625" style="76" customWidth="1"/>
    <col min="5912" max="5912" width="14.28515625" style="76" bestFit="1" customWidth="1"/>
    <col min="5913" max="6144" width="11.42578125" style="76"/>
    <col min="6145" max="6145" width="10.85546875" style="76" customWidth="1"/>
    <col min="6146" max="6146" width="49.140625" style="76" customWidth="1"/>
    <col min="6147" max="6147" width="16.42578125" style="76" customWidth="1"/>
    <col min="6148" max="6148" width="12.140625" style="76" customWidth="1"/>
    <col min="6149" max="6149" width="15.85546875" style="76" customWidth="1"/>
    <col min="6150" max="6150" width="18.7109375" style="76" customWidth="1"/>
    <col min="6151" max="6151" width="10.7109375" style="76" customWidth="1"/>
    <col min="6152" max="6152" width="17.7109375" style="76" customWidth="1"/>
    <col min="6153" max="6153" width="10.7109375" style="76" customWidth="1"/>
    <col min="6154" max="6154" width="17.7109375" style="76" customWidth="1"/>
    <col min="6155" max="6155" width="10.7109375" style="76" customWidth="1"/>
    <col min="6156" max="6156" width="17.7109375" style="76" customWidth="1"/>
    <col min="6157" max="6157" width="10.7109375" style="76" customWidth="1"/>
    <col min="6158" max="6158" width="17.7109375" style="76" customWidth="1"/>
    <col min="6159" max="6163" width="0" style="76" hidden="1" customWidth="1"/>
    <col min="6164" max="6164" width="5.7109375" style="76" customWidth="1"/>
    <col min="6165" max="6165" width="18.28515625" style="76" customWidth="1"/>
    <col min="6166" max="6166" width="11.42578125" style="76" customWidth="1"/>
    <col min="6167" max="6167" width="19.140625" style="76" customWidth="1"/>
    <col min="6168" max="6168" width="14.28515625" style="76" bestFit="1" customWidth="1"/>
    <col min="6169" max="6400" width="11.42578125" style="76"/>
    <col min="6401" max="6401" width="10.85546875" style="76" customWidth="1"/>
    <col min="6402" max="6402" width="49.140625" style="76" customWidth="1"/>
    <col min="6403" max="6403" width="16.42578125" style="76" customWidth="1"/>
    <col min="6404" max="6404" width="12.140625" style="76" customWidth="1"/>
    <col min="6405" max="6405" width="15.85546875" style="76" customWidth="1"/>
    <col min="6406" max="6406" width="18.7109375" style="76" customWidth="1"/>
    <col min="6407" max="6407" width="10.7109375" style="76" customWidth="1"/>
    <col min="6408" max="6408" width="17.7109375" style="76" customWidth="1"/>
    <col min="6409" max="6409" width="10.7109375" style="76" customWidth="1"/>
    <col min="6410" max="6410" width="17.7109375" style="76" customWidth="1"/>
    <col min="6411" max="6411" width="10.7109375" style="76" customWidth="1"/>
    <col min="6412" max="6412" width="17.7109375" style="76" customWidth="1"/>
    <col min="6413" max="6413" width="10.7109375" style="76" customWidth="1"/>
    <col min="6414" max="6414" width="17.7109375" style="76" customWidth="1"/>
    <col min="6415" max="6419" width="0" style="76" hidden="1" customWidth="1"/>
    <col min="6420" max="6420" width="5.7109375" style="76" customWidth="1"/>
    <col min="6421" max="6421" width="18.28515625" style="76" customWidth="1"/>
    <col min="6422" max="6422" width="11.42578125" style="76" customWidth="1"/>
    <col min="6423" max="6423" width="19.140625" style="76" customWidth="1"/>
    <col min="6424" max="6424" width="14.28515625" style="76" bestFit="1" customWidth="1"/>
    <col min="6425" max="6656" width="11.42578125" style="76"/>
    <col min="6657" max="6657" width="10.85546875" style="76" customWidth="1"/>
    <col min="6658" max="6658" width="49.140625" style="76" customWidth="1"/>
    <col min="6659" max="6659" width="16.42578125" style="76" customWidth="1"/>
    <col min="6660" max="6660" width="12.140625" style="76" customWidth="1"/>
    <col min="6661" max="6661" width="15.85546875" style="76" customWidth="1"/>
    <col min="6662" max="6662" width="18.7109375" style="76" customWidth="1"/>
    <col min="6663" max="6663" width="10.7109375" style="76" customWidth="1"/>
    <col min="6664" max="6664" width="17.7109375" style="76" customWidth="1"/>
    <col min="6665" max="6665" width="10.7109375" style="76" customWidth="1"/>
    <col min="6666" max="6666" width="17.7109375" style="76" customWidth="1"/>
    <col min="6667" max="6667" width="10.7109375" style="76" customWidth="1"/>
    <col min="6668" max="6668" width="17.7109375" style="76" customWidth="1"/>
    <col min="6669" max="6669" width="10.7109375" style="76" customWidth="1"/>
    <col min="6670" max="6670" width="17.7109375" style="76" customWidth="1"/>
    <col min="6671" max="6675" width="0" style="76" hidden="1" customWidth="1"/>
    <col min="6676" max="6676" width="5.7109375" style="76" customWidth="1"/>
    <col min="6677" max="6677" width="18.28515625" style="76" customWidth="1"/>
    <col min="6678" max="6678" width="11.42578125" style="76" customWidth="1"/>
    <col min="6679" max="6679" width="19.140625" style="76" customWidth="1"/>
    <col min="6680" max="6680" width="14.28515625" style="76" bestFit="1" customWidth="1"/>
    <col min="6681" max="6912" width="11.42578125" style="76"/>
    <col min="6913" max="6913" width="10.85546875" style="76" customWidth="1"/>
    <col min="6914" max="6914" width="49.140625" style="76" customWidth="1"/>
    <col min="6915" max="6915" width="16.42578125" style="76" customWidth="1"/>
    <col min="6916" max="6916" width="12.140625" style="76" customWidth="1"/>
    <col min="6917" max="6917" width="15.85546875" style="76" customWidth="1"/>
    <col min="6918" max="6918" width="18.7109375" style="76" customWidth="1"/>
    <col min="6919" max="6919" width="10.7109375" style="76" customWidth="1"/>
    <col min="6920" max="6920" width="17.7109375" style="76" customWidth="1"/>
    <col min="6921" max="6921" width="10.7109375" style="76" customWidth="1"/>
    <col min="6922" max="6922" width="17.7109375" style="76" customWidth="1"/>
    <col min="6923" max="6923" width="10.7109375" style="76" customWidth="1"/>
    <col min="6924" max="6924" width="17.7109375" style="76" customWidth="1"/>
    <col min="6925" max="6925" width="10.7109375" style="76" customWidth="1"/>
    <col min="6926" max="6926" width="17.7109375" style="76" customWidth="1"/>
    <col min="6927" max="6931" width="0" style="76" hidden="1" customWidth="1"/>
    <col min="6932" max="6932" width="5.7109375" style="76" customWidth="1"/>
    <col min="6933" max="6933" width="18.28515625" style="76" customWidth="1"/>
    <col min="6934" max="6934" width="11.42578125" style="76" customWidth="1"/>
    <col min="6935" max="6935" width="19.140625" style="76" customWidth="1"/>
    <col min="6936" max="6936" width="14.28515625" style="76" bestFit="1" customWidth="1"/>
    <col min="6937" max="7168" width="11.42578125" style="76"/>
    <col min="7169" max="7169" width="10.85546875" style="76" customWidth="1"/>
    <col min="7170" max="7170" width="49.140625" style="76" customWidth="1"/>
    <col min="7171" max="7171" width="16.42578125" style="76" customWidth="1"/>
    <col min="7172" max="7172" width="12.140625" style="76" customWidth="1"/>
    <col min="7173" max="7173" width="15.85546875" style="76" customWidth="1"/>
    <col min="7174" max="7174" width="18.7109375" style="76" customWidth="1"/>
    <col min="7175" max="7175" width="10.7109375" style="76" customWidth="1"/>
    <col min="7176" max="7176" width="17.7109375" style="76" customWidth="1"/>
    <col min="7177" max="7177" width="10.7109375" style="76" customWidth="1"/>
    <col min="7178" max="7178" width="17.7109375" style="76" customWidth="1"/>
    <col min="7179" max="7179" width="10.7109375" style="76" customWidth="1"/>
    <col min="7180" max="7180" width="17.7109375" style="76" customWidth="1"/>
    <col min="7181" max="7181" width="10.7109375" style="76" customWidth="1"/>
    <col min="7182" max="7182" width="17.7109375" style="76" customWidth="1"/>
    <col min="7183" max="7187" width="0" style="76" hidden="1" customWidth="1"/>
    <col min="7188" max="7188" width="5.7109375" style="76" customWidth="1"/>
    <col min="7189" max="7189" width="18.28515625" style="76" customWidth="1"/>
    <col min="7190" max="7190" width="11.42578125" style="76" customWidth="1"/>
    <col min="7191" max="7191" width="19.140625" style="76" customWidth="1"/>
    <col min="7192" max="7192" width="14.28515625" style="76" bestFit="1" customWidth="1"/>
    <col min="7193" max="7424" width="11.42578125" style="76"/>
    <col min="7425" max="7425" width="10.85546875" style="76" customWidth="1"/>
    <col min="7426" max="7426" width="49.140625" style="76" customWidth="1"/>
    <col min="7427" max="7427" width="16.42578125" style="76" customWidth="1"/>
    <col min="7428" max="7428" width="12.140625" style="76" customWidth="1"/>
    <col min="7429" max="7429" width="15.85546875" style="76" customWidth="1"/>
    <col min="7430" max="7430" width="18.7109375" style="76" customWidth="1"/>
    <col min="7431" max="7431" width="10.7109375" style="76" customWidth="1"/>
    <col min="7432" max="7432" width="17.7109375" style="76" customWidth="1"/>
    <col min="7433" max="7433" width="10.7109375" style="76" customWidth="1"/>
    <col min="7434" max="7434" width="17.7109375" style="76" customWidth="1"/>
    <col min="7435" max="7435" width="10.7109375" style="76" customWidth="1"/>
    <col min="7436" max="7436" width="17.7109375" style="76" customWidth="1"/>
    <col min="7437" max="7437" width="10.7109375" style="76" customWidth="1"/>
    <col min="7438" max="7438" width="17.7109375" style="76" customWidth="1"/>
    <col min="7439" max="7443" width="0" style="76" hidden="1" customWidth="1"/>
    <col min="7444" max="7444" width="5.7109375" style="76" customWidth="1"/>
    <col min="7445" max="7445" width="18.28515625" style="76" customWidth="1"/>
    <col min="7446" max="7446" width="11.42578125" style="76" customWidth="1"/>
    <col min="7447" max="7447" width="19.140625" style="76" customWidth="1"/>
    <col min="7448" max="7448" width="14.28515625" style="76" bestFit="1" customWidth="1"/>
    <col min="7449" max="7680" width="11.42578125" style="76"/>
    <col min="7681" max="7681" width="10.85546875" style="76" customWidth="1"/>
    <col min="7682" max="7682" width="49.140625" style="76" customWidth="1"/>
    <col min="7683" max="7683" width="16.42578125" style="76" customWidth="1"/>
    <col min="7684" max="7684" width="12.140625" style="76" customWidth="1"/>
    <col min="7685" max="7685" width="15.85546875" style="76" customWidth="1"/>
    <col min="7686" max="7686" width="18.7109375" style="76" customWidth="1"/>
    <col min="7687" max="7687" width="10.7109375" style="76" customWidth="1"/>
    <col min="7688" max="7688" width="17.7109375" style="76" customWidth="1"/>
    <col min="7689" max="7689" width="10.7109375" style="76" customWidth="1"/>
    <col min="7690" max="7690" width="17.7109375" style="76" customWidth="1"/>
    <col min="7691" max="7691" width="10.7109375" style="76" customWidth="1"/>
    <col min="7692" max="7692" width="17.7109375" style="76" customWidth="1"/>
    <col min="7693" max="7693" width="10.7109375" style="76" customWidth="1"/>
    <col min="7694" max="7694" width="17.7109375" style="76" customWidth="1"/>
    <col min="7695" max="7699" width="0" style="76" hidden="1" customWidth="1"/>
    <col min="7700" max="7700" width="5.7109375" style="76" customWidth="1"/>
    <col min="7701" max="7701" width="18.28515625" style="76" customWidth="1"/>
    <col min="7702" max="7702" width="11.42578125" style="76" customWidth="1"/>
    <col min="7703" max="7703" width="19.140625" style="76" customWidth="1"/>
    <col min="7704" max="7704" width="14.28515625" style="76" bestFit="1" customWidth="1"/>
    <col min="7705" max="7936" width="11.42578125" style="76"/>
    <col min="7937" max="7937" width="10.85546875" style="76" customWidth="1"/>
    <col min="7938" max="7938" width="49.140625" style="76" customWidth="1"/>
    <col min="7939" max="7939" width="16.42578125" style="76" customWidth="1"/>
    <col min="7940" max="7940" width="12.140625" style="76" customWidth="1"/>
    <col min="7941" max="7941" width="15.85546875" style="76" customWidth="1"/>
    <col min="7942" max="7942" width="18.7109375" style="76" customWidth="1"/>
    <col min="7943" max="7943" width="10.7109375" style="76" customWidth="1"/>
    <col min="7944" max="7944" width="17.7109375" style="76" customWidth="1"/>
    <col min="7945" max="7945" width="10.7109375" style="76" customWidth="1"/>
    <col min="7946" max="7946" width="17.7109375" style="76" customWidth="1"/>
    <col min="7947" max="7947" width="10.7109375" style="76" customWidth="1"/>
    <col min="7948" max="7948" width="17.7109375" style="76" customWidth="1"/>
    <col min="7949" max="7949" width="10.7109375" style="76" customWidth="1"/>
    <col min="7950" max="7950" width="17.7109375" style="76" customWidth="1"/>
    <col min="7951" max="7955" width="0" style="76" hidden="1" customWidth="1"/>
    <col min="7956" max="7956" width="5.7109375" style="76" customWidth="1"/>
    <col min="7957" max="7957" width="18.28515625" style="76" customWidth="1"/>
    <col min="7958" max="7958" width="11.42578125" style="76" customWidth="1"/>
    <col min="7959" max="7959" width="19.140625" style="76" customWidth="1"/>
    <col min="7960" max="7960" width="14.28515625" style="76" bestFit="1" customWidth="1"/>
    <col min="7961" max="8192" width="11.42578125" style="76"/>
    <col min="8193" max="8193" width="10.85546875" style="76" customWidth="1"/>
    <col min="8194" max="8194" width="49.140625" style="76" customWidth="1"/>
    <col min="8195" max="8195" width="16.42578125" style="76" customWidth="1"/>
    <col min="8196" max="8196" width="12.140625" style="76" customWidth="1"/>
    <col min="8197" max="8197" width="15.85546875" style="76" customWidth="1"/>
    <col min="8198" max="8198" width="18.7109375" style="76" customWidth="1"/>
    <col min="8199" max="8199" width="10.7109375" style="76" customWidth="1"/>
    <col min="8200" max="8200" width="17.7109375" style="76" customWidth="1"/>
    <col min="8201" max="8201" width="10.7109375" style="76" customWidth="1"/>
    <col min="8202" max="8202" width="17.7109375" style="76" customWidth="1"/>
    <col min="8203" max="8203" width="10.7109375" style="76" customWidth="1"/>
    <col min="8204" max="8204" width="17.7109375" style="76" customWidth="1"/>
    <col min="8205" max="8205" width="10.7109375" style="76" customWidth="1"/>
    <col min="8206" max="8206" width="17.7109375" style="76" customWidth="1"/>
    <col min="8207" max="8211" width="0" style="76" hidden="1" customWidth="1"/>
    <col min="8212" max="8212" width="5.7109375" style="76" customWidth="1"/>
    <col min="8213" max="8213" width="18.28515625" style="76" customWidth="1"/>
    <col min="8214" max="8214" width="11.42578125" style="76" customWidth="1"/>
    <col min="8215" max="8215" width="19.140625" style="76" customWidth="1"/>
    <col min="8216" max="8216" width="14.28515625" style="76" bestFit="1" customWidth="1"/>
    <col min="8217" max="8448" width="11.42578125" style="76"/>
    <col min="8449" max="8449" width="10.85546875" style="76" customWidth="1"/>
    <col min="8450" max="8450" width="49.140625" style="76" customWidth="1"/>
    <col min="8451" max="8451" width="16.42578125" style="76" customWidth="1"/>
    <col min="8452" max="8452" width="12.140625" style="76" customWidth="1"/>
    <col min="8453" max="8453" width="15.85546875" style="76" customWidth="1"/>
    <col min="8454" max="8454" width="18.7109375" style="76" customWidth="1"/>
    <col min="8455" max="8455" width="10.7109375" style="76" customWidth="1"/>
    <col min="8456" max="8456" width="17.7109375" style="76" customWidth="1"/>
    <col min="8457" max="8457" width="10.7109375" style="76" customWidth="1"/>
    <col min="8458" max="8458" width="17.7109375" style="76" customWidth="1"/>
    <col min="8459" max="8459" width="10.7109375" style="76" customWidth="1"/>
    <col min="8460" max="8460" width="17.7109375" style="76" customWidth="1"/>
    <col min="8461" max="8461" width="10.7109375" style="76" customWidth="1"/>
    <col min="8462" max="8462" width="17.7109375" style="76" customWidth="1"/>
    <col min="8463" max="8467" width="0" style="76" hidden="1" customWidth="1"/>
    <col min="8468" max="8468" width="5.7109375" style="76" customWidth="1"/>
    <col min="8469" max="8469" width="18.28515625" style="76" customWidth="1"/>
    <col min="8470" max="8470" width="11.42578125" style="76" customWidth="1"/>
    <col min="8471" max="8471" width="19.140625" style="76" customWidth="1"/>
    <col min="8472" max="8472" width="14.28515625" style="76" bestFit="1" customWidth="1"/>
    <col min="8473" max="8704" width="11.42578125" style="76"/>
    <col min="8705" max="8705" width="10.85546875" style="76" customWidth="1"/>
    <col min="8706" max="8706" width="49.140625" style="76" customWidth="1"/>
    <col min="8707" max="8707" width="16.42578125" style="76" customWidth="1"/>
    <col min="8708" max="8708" width="12.140625" style="76" customWidth="1"/>
    <col min="8709" max="8709" width="15.85546875" style="76" customWidth="1"/>
    <col min="8710" max="8710" width="18.7109375" style="76" customWidth="1"/>
    <col min="8711" max="8711" width="10.7109375" style="76" customWidth="1"/>
    <col min="8712" max="8712" width="17.7109375" style="76" customWidth="1"/>
    <col min="8713" max="8713" width="10.7109375" style="76" customWidth="1"/>
    <col min="8714" max="8714" width="17.7109375" style="76" customWidth="1"/>
    <col min="8715" max="8715" width="10.7109375" style="76" customWidth="1"/>
    <col min="8716" max="8716" width="17.7109375" style="76" customWidth="1"/>
    <col min="8717" max="8717" width="10.7109375" style="76" customWidth="1"/>
    <col min="8718" max="8718" width="17.7109375" style="76" customWidth="1"/>
    <col min="8719" max="8723" width="0" style="76" hidden="1" customWidth="1"/>
    <col min="8724" max="8724" width="5.7109375" style="76" customWidth="1"/>
    <col min="8725" max="8725" width="18.28515625" style="76" customWidth="1"/>
    <col min="8726" max="8726" width="11.42578125" style="76" customWidth="1"/>
    <col min="8727" max="8727" width="19.140625" style="76" customWidth="1"/>
    <col min="8728" max="8728" width="14.28515625" style="76" bestFit="1" customWidth="1"/>
    <col min="8729" max="8960" width="11.42578125" style="76"/>
    <col min="8961" max="8961" width="10.85546875" style="76" customWidth="1"/>
    <col min="8962" max="8962" width="49.140625" style="76" customWidth="1"/>
    <col min="8963" max="8963" width="16.42578125" style="76" customWidth="1"/>
    <col min="8964" max="8964" width="12.140625" style="76" customWidth="1"/>
    <col min="8965" max="8965" width="15.85546875" style="76" customWidth="1"/>
    <col min="8966" max="8966" width="18.7109375" style="76" customWidth="1"/>
    <col min="8967" max="8967" width="10.7109375" style="76" customWidth="1"/>
    <col min="8968" max="8968" width="17.7109375" style="76" customWidth="1"/>
    <col min="8969" max="8969" width="10.7109375" style="76" customWidth="1"/>
    <col min="8970" max="8970" width="17.7109375" style="76" customWidth="1"/>
    <col min="8971" max="8971" width="10.7109375" style="76" customWidth="1"/>
    <col min="8972" max="8972" width="17.7109375" style="76" customWidth="1"/>
    <col min="8973" max="8973" width="10.7109375" style="76" customWidth="1"/>
    <col min="8974" max="8974" width="17.7109375" style="76" customWidth="1"/>
    <col min="8975" max="8979" width="0" style="76" hidden="1" customWidth="1"/>
    <col min="8980" max="8980" width="5.7109375" style="76" customWidth="1"/>
    <col min="8981" max="8981" width="18.28515625" style="76" customWidth="1"/>
    <col min="8982" max="8982" width="11.42578125" style="76" customWidth="1"/>
    <col min="8983" max="8983" width="19.140625" style="76" customWidth="1"/>
    <col min="8984" max="8984" width="14.28515625" style="76" bestFit="1" customWidth="1"/>
    <col min="8985" max="9216" width="11.42578125" style="76"/>
    <col min="9217" max="9217" width="10.85546875" style="76" customWidth="1"/>
    <col min="9218" max="9218" width="49.140625" style="76" customWidth="1"/>
    <col min="9219" max="9219" width="16.42578125" style="76" customWidth="1"/>
    <col min="9220" max="9220" width="12.140625" style="76" customWidth="1"/>
    <col min="9221" max="9221" width="15.85546875" style="76" customWidth="1"/>
    <col min="9222" max="9222" width="18.7109375" style="76" customWidth="1"/>
    <col min="9223" max="9223" width="10.7109375" style="76" customWidth="1"/>
    <col min="9224" max="9224" width="17.7109375" style="76" customWidth="1"/>
    <col min="9225" max="9225" width="10.7109375" style="76" customWidth="1"/>
    <col min="9226" max="9226" width="17.7109375" style="76" customWidth="1"/>
    <col min="9227" max="9227" width="10.7109375" style="76" customWidth="1"/>
    <col min="9228" max="9228" width="17.7109375" style="76" customWidth="1"/>
    <col min="9229" max="9229" width="10.7109375" style="76" customWidth="1"/>
    <col min="9230" max="9230" width="17.7109375" style="76" customWidth="1"/>
    <col min="9231" max="9235" width="0" style="76" hidden="1" customWidth="1"/>
    <col min="9236" max="9236" width="5.7109375" style="76" customWidth="1"/>
    <col min="9237" max="9237" width="18.28515625" style="76" customWidth="1"/>
    <col min="9238" max="9238" width="11.42578125" style="76" customWidth="1"/>
    <col min="9239" max="9239" width="19.140625" style="76" customWidth="1"/>
    <col min="9240" max="9240" width="14.28515625" style="76" bestFit="1" customWidth="1"/>
    <col min="9241" max="9472" width="11.42578125" style="76"/>
    <col min="9473" max="9473" width="10.85546875" style="76" customWidth="1"/>
    <col min="9474" max="9474" width="49.140625" style="76" customWidth="1"/>
    <col min="9475" max="9475" width="16.42578125" style="76" customWidth="1"/>
    <col min="9476" max="9476" width="12.140625" style="76" customWidth="1"/>
    <col min="9477" max="9477" width="15.85546875" style="76" customWidth="1"/>
    <col min="9478" max="9478" width="18.7109375" style="76" customWidth="1"/>
    <col min="9479" max="9479" width="10.7109375" style="76" customWidth="1"/>
    <col min="9480" max="9480" width="17.7109375" style="76" customWidth="1"/>
    <col min="9481" max="9481" width="10.7109375" style="76" customWidth="1"/>
    <col min="9482" max="9482" width="17.7109375" style="76" customWidth="1"/>
    <col min="9483" max="9483" width="10.7109375" style="76" customWidth="1"/>
    <col min="9484" max="9484" width="17.7109375" style="76" customWidth="1"/>
    <col min="9485" max="9485" width="10.7109375" style="76" customWidth="1"/>
    <col min="9486" max="9486" width="17.7109375" style="76" customWidth="1"/>
    <col min="9487" max="9491" width="0" style="76" hidden="1" customWidth="1"/>
    <col min="9492" max="9492" width="5.7109375" style="76" customWidth="1"/>
    <col min="9493" max="9493" width="18.28515625" style="76" customWidth="1"/>
    <col min="9494" max="9494" width="11.42578125" style="76" customWidth="1"/>
    <col min="9495" max="9495" width="19.140625" style="76" customWidth="1"/>
    <col min="9496" max="9496" width="14.28515625" style="76" bestFit="1" customWidth="1"/>
    <col min="9497" max="9728" width="11.42578125" style="76"/>
    <col min="9729" max="9729" width="10.85546875" style="76" customWidth="1"/>
    <col min="9730" max="9730" width="49.140625" style="76" customWidth="1"/>
    <col min="9731" max="9731" width="16.42578125" style="76" customWidth="1"/>
    <col min="9732" max="9732" width="12.140625" style="76" customWidth="1"/>
    <col min="9733" max="9733" width="15.85546875" style="76" customWidth="1"/>
    <col min="9734" max="9734" width="18.7109375" style="76" customWidth="1"/>
    <col min="9735" max="9735" width="10.7109375" style="76" customWidth="1"/>
    <col min="9736" max="9736" width="17.7109375" style="76" customWidth="1"/>
    <col min="9737" max="9737" width="10.7109375" style="76" customWidth="1"/>
    <col min="9738" max="9738" width="17.7109375" style="76" customWidth="1"/>
    <col min="9739" max="9739" width="10.7109375" style="76" customWidth="1"/>
    <col min="9740" max="9740" width="17.7109375" style="76" customWidth="1"/>
    <col min="9741" max="9741" width="10.7109375" style="76" customWidth="1"/>
    <col min="9742" max="9742" width="17.7109375" style="76" customWidth="1"/>
    <col min="9743" max="9747" width="0" style="76" hidden="1" customWidth="1"/>
    <col min="9748" max="9748" width="5.7109375" style="76" customWidth="1"/>
    <col min="9749" max="9749" width="18.28515625" style="76" customWidth="1"/>
    <col min="9750" max="9750" width="11.42578125" style="76" customWidth="1"/>
    <col min="9751" max="9751" width="19.140625" style="76" customWidth="1"/>
    <col min="9752" max="9752" width="14.28515625" style="76" bestFit="1" customWidth="1"/>
    <col min="9753" max="9984" width="11.42578125" style="76"/>
    <col min="9985" max="9985" width="10.85546875" style="76" customWidth="1"/>
    <col min="9986" max="9986" width="49.140625" style="76" customWidth="1"/>
    <col min="9987" max="9987" width="16.42578125" style="76" customWidth="1"/>
    <col min="9988" max="9988" width="12.140625" style="76" customWidth="1"/>
    <col min="9989" max="9989" width="15.85546875" style="76" customWidth="1"/>
    <col min="9990" max="9990" width="18.7109375" style="76" customWidth="1"/>
    <col min="9991" max="9991" width="10.7109375" style="76" customWidth="1"/>
    <col min="9992" max="9992" width="17.7109375" style="76" customWidth="1"/>
    <col min="9993" max="9993" width="10.7109375" style="76" customWidth="1"/>
    <col min="9994" max="9994" width="17.7109375" style="76" customWidth="1"/>
    <col min="9995" max="9995" width="10.7109375" style="76" customWidth="1"/>
    <col min="9996" max="9996" width="17.7109375" style="76" customWidth="1"/>
    <col min="9997" max="9997" width="10.7109375" style="76" customWidth="1"/>
    <col min="9998" max="9998" width="17.7109375" style="76" customWidth="1"/>
    <col min="9999" max="10003" width="0" style="76" hidden="1" customWidth="1"/>
    <col min="10004" max="10004" width="5.7109375" style="76" customWidth="1"/>
    <col min="10005" max="10005" width="18.28515625" style="76" customWidth="1"/>
    <col min="10006" max="10006" width="11.42578125" style="76" customWidth="1"/>
    <col min="10007" max="10007" width="19.140625" style="76" customWidth="1"/>
    <col min="10008" max="10008" width="14.28515625" style="76" bestFit="1" customWidth="1"/>
    <col min="10009" max="10240" width="11.42578125" style="76"/>
    <col min="10241" max="10241" width="10.85546875" style="76" customWidth="1"/>
    <col min="10242" max="10242" width="49.140625" style="76" customWidth="1"/>
    <col min="10243" max="10243" width="16.42578125" style="76" customWidth="1"/>
    <col min="10244" max="10244" width="12.140625" style="76" customWidth="1"/>
    <col min="10245" max="10245" width="15.85546875" style="76" customWidth="1"/>
    <col min="10246" max="10246" width="18.7109375" style="76" customWidth="1"/>
    <col min="10247" max="10247" width="10.7109375" style="76" customWidth="1"/>
    <col min="10248" max="10248" width="17.7109375" style="76" customWidth="1"/>
    <col min="10249" max="10249" width="10.7109375" style="76" customWidth="1"/>
    <col min="10250" max="10250" width="17.7109375" style="76" customWidth="1"/>
    <col min="10251" max="10251" width="10.7109375" style="76" customWidth="1"/>
    <col min="10252" max="10252" width="17.7109375" style="76" customWidth="1"/>
    <col min="10253" max="10253" width="10.7109375" style="76" customWidth="1"/>
    <col min="10254" max="10254" width="17.7109375" style="76" customWidth="1"/>
    <col min="10255" max="10259" width="0" style="76" hidden="1" customWidth="1"/>
    <col min="10260" max="10260" width="5.7109375" style="76" customWidth="1"/>
    <col min="10261" max="10261" width="18.28515625" style="76" customWidth="1"/>
    <col min="10262" max="10262" width="11.42578125" style="76" customWidth="1"/>
    <col min="10263" max="10263" width="19.140625" style="76" customWidth="1"/>
    <col min="10264" max="10264" width="14.28515625" style="76" bestFit="1" customWidth="1"/>
    <col min="10265" max="10496" width="11.42578125" style="76"/>
    <col min="10497" max="10497" width="10.85546875" style="76" customWidth="1"/>
    <col min="10498" max="10498" width="49.140625" style="76" customWidth="1"/>
    <col min="10499" max="10499" width="16.42578125" style="76" customWidth="1"/>
    <col min="10500" max="10500" width="12.140625" style="76" customWidth="1"/>
    <col min="10501" max="10501" width="15.85546875" style="76" customWidth="1"/>
    <col min="10502" max="10502" width="18.7109375" style="76" customWidth="1"/>
    <col min="10503" max="10503" width="10.7109375" style="76" customWidth="1"/>
    <col min="10504" max="10504" width="17.7109375" style="76" customWidth="1"/>
    <col min="10505" max="10505" width="10.7109375" style="76" customWidth="1"/>
    <col min="10506" max="10506" width="17.7109375" style="76" customWidth="1"/>
    <col min="10507" max="10507" width="10.7109375" style="76" customWidth="1"/>
    <col min="10508" max="10508" width="17.7109375" style="76" customWidth="1"/>
    <col min="10509" max="10509" width="10.7109375" style="76" customWidth="1"/>
    <col min="10510" max="10510" width="17.7109375" style="76" customWidth="1"/>
    <col min="10511" max="10515" width="0" style="76" hidden="1" customWidth="1"/>
    <col min="10516" max="10516" width="5.7109375" style="76" customWidth="1"/>
    <col min="10517" max="10517" width="18.28515625" style="76" customWidth="1"/>
    <col min="10518" max="10518" width="11.42578125" style="76" customWidth="1"/>
    <col min="10519" max="10519" width="19.140625" style="76" customWidth="1"/>
    <col min="10520" max="10520" width="14.28515625" style="76" bestFit="1" customWidth="1"/>
    <col min="10521" max="10752" width="11.42578125" style="76"/>
    <col min="10753" max="10753" width="10.85546875" style="76" customWidth="1"/>
    <col min="10754" max="10754" width="49.140625" style="76" customWidth="1"/>
    <col min="10755" max="10755" width="16.42578125" style="76" customWidth="1"/>
    <col min="10756" max="10756" width="12.140625" style="76" customWidth="1"/>
    <col min="10757" max="10757" width="15.85546875" style="76" customWidth="1"/>
    <col min="10758" max="10758" width="18.7109375" style="76" customWidth="1"/>
    <col min="10759" max="10759" width="10.7109375" style="76" customWidth="1"/>
    <col min="10760" max="10760" width="17.7109375" style="76" customWidth="1"/>
    <col min="10761" max="10761" width="10.7109375" style="76" customWidth="1"/>
    <col min="10762" max="10762" width="17.7109375" style="76" customWidth="1"/>
    <col min="10763" max="10763" width="10.7109375" style="76" customWidth="1"/>
    <col min="10764" max="10764" width="17.7109375" style="76" customWidth="1"/>
    <col min="10765" max="10765" width="10.7109375" style="76" customWidth="1"/>
    <col min="10766" max="10766" width="17.7109375" style="76" customWidth="1"/>
    <col min="10767" max="10771" width="0" style="76" hidden="1" customWidth="1"/>
    <col min="10772" max="10772" width="5.7109375" style="76" customWidth="1"/>
    <col min="10773" max="10773" width="18.28515625" style="76" customWidth="1"/>
    <col min="10774" max="10774" width="11.42578125" style="76" customWidth="1"/>
    <col min="10775" max="10775" width="19.140625" style="76" customWidth="1"/>
    <col min="10776" max="10776" width="14.28515625" style="76" bestFit="1" customWidth="1"/>
    <col min="10777" max="11008" width="11.42578125" style="76"/>
    <col min="11009" max="11009" width="10.85546875" style="76" customWidth="1"/>
    <col min="11010" max="11010" width="49.140625" style="76" customWidth="1"/>
    <col min="11011" max="11011" width="16.42578125" style="76" customWidth="1"/>
    <col min="11012" max="11012" width="12.140625" style="76" customWidth="1"/>
    <col min="11013" max="11013" width="15.85546875" style="76" customWidth="1"/>
    <col min="11014" max="11014" width="18.7109375" style="76" customWidth="1"/>
    <col min="11015" max="11015" width="10.7109375" style="76" customWidth="1"/>
    <col min="11016" max="11016" width="17.7109375" style="76" customWidth="1"/>
    <col min="11017" max="11017" width="10.7109375" style="76" customWidth="1"/>
    <col min="11018" max="11018" width="17.7109375" style="76" customWidth="1"/>
    <col min="11019" max="11019" width="10.7109375" style="76" customWidth="1"/>
    <col min="11020" max="11020" width="17.7109375" style="76" customWidth="1"/>
    <col min="11021" max="11021" width="10.7109375" style="76" customWidth="1"/>
    <col min="11022" max="11022" width="17.7109375" style="76" customWidth="1"/>
    <col min="11023" max="11027" width="0" style="76" hidden="1" customWidth="1"/>
    <col min="11028" max="11028" width="5.7109375" style="76" customWidth="1"/>
    <col min="11029" max="11029" width="18.28515625" style="76" customWidth="1"/>
    <col min="11030" max="11030" width="11.42578125" style="76" customWidth="1"/>
    <col min="11031" max="11031" width="19.140625" style="76" customWidth="1"/>
    <col min="11032" max="11032" width="14.28515625" style="76" bestFit="1" customWidth="1"/>
    <col min="11033" max="11264" width="11.42578125" style="76"/>
    <col min="11265" max="11265" width="10.85546875" style="76" customWidth="1"/>
    <col min="11266" max="11266" width="49.140625" style="76" customWidth="1"/>
    <col min="11267" max="11267" width="16.42578125" style="76" customWidth="1"/>
    <col min="11268" max="11268" width="12.140625" style="76" customWidth="1"/>
    <col min="11269" max="11269" width="15.85546875" style="76" customWidth="1"/>
    <col min="11270" max="11270" width="18.7109375" style="76" customWidth="1"/>
    <col min="11271" max="11271" width="10.7109375" style="76" customWidth="1"/>
    <col min="11272" max="11272" width="17.7109375" style="76" customWidth="1"/>
    <col min="11273" max="11273" width="10.7109375" style="76" customWidth="1"/>
    <col min="11274" max="11274" width="17.7109375" style="76" customWidth="1"/>
    <col min="11275" max="11275" width="10.7109375" style="76" customWidth="1"/>
    <col min="11276" max="11276" width="17.7109375" style="76" customWidth="1"/>
    <col min="11277" max="11277" width="10.7109375" style="76" customWidth="1"/>
    <col min="11278" max="11278" width="17.7109375" style="76" customWidth="1"/>
    <col min="11279" max="11283" width="0" style="76" hidden="1" customWidth="1"/>
    <col min="11284" max="11284" width="5.7109375" style="76" customWidth="1"/>
    <col min="11285" max="11285" width="18.28515625" style="76" customWidth="1"/>
    <col min="11286" max="11286" width="11.42578125" style="76" customWidth="1"/>
    <col min="11287" max="11287" width="19.140625" style="76" customWidth="1"/>
    <col min="11288" max="11288" width="14.28515625" style="76" bestFit="1" customWidth="1"/>
    <col min="11289" max="11520" width="11.42578125" style="76"/>
    <col min="11521" max="11521" width="10.85546875" style="76" customWidth="1"/>
    <col min="11522" max="11522" width="49.140625" style="76" customWidth="1"/>
    <col min="11523" max="11523" width="16.42578125" style="76" customWidth="1"/>
    <col min="11524" max="11524" width="12.140625" style="76" customWidth="1"/>
    <col min="11525" max="11525" width="15.85546875" style="76" customWidth="1"/>
    <col min="11526" max="11526" width="18.7109375" style="76" customWidth="1"/>
    <col min="11527" max="11527" width="10.7109375" style="76" customWidth="1"/>
    <col min="11528" max="11528" width="17.7109375" style="76" customWidth="1"/>
    <col min="11529" max="11529" width="10.7109375" style="76" customWidth="1"/>
    <col min="11530" max="11530" width="17.7109375" style="76" customWidth="1"/>
    <col min="11531" max="11531" width="10.7109375" style="76" customWidth="1"/>
    <col min="11532" max="11532" width="17.7109375" style="76" customWidth="1"/>
    <col min="11533" max="11533" width="10.7109375" style="76" customWidth="1"/>
    <col min="11534" max="11534" width="17.7109375" style="76" customWidth="1"/>
    <col min="11535" max="11539" width="0" style="76" hidden="1" customWidth="1"/>
    <col min="11540" max="11540" width="5.7109375" style="76" customWidth="1"/>
    <col min="11541" max="11541" width="18.28515625" style="76" customWidth="1"/>
    <col min="11542" max="11542" width="11.42578125" style="76" customWidth="1"/>
    <col min="11543" max="11543" width="19.140625" style="76" customWidth="1"/>
    <col min="11544" max="11544" width="14.28515625" style="76" bestFit="1" customWidth="1"/>
    <col min="11545" max="11776" width="11.42578125" style="76"/>
    <col min="11777" max="11777" width="10.85546875" style="76" customWidth="1"/>
    <col min="11778" max="11778" width="49.140625" style="76" customWidth="1"/>
    <col min="11779" max="11779" width="16.42578125" style="76" customWidth="1"/>
    <col min="11780" max="11780" width="12.140625" style="76" customWidth="1"/>
    <col min="11781" max="11781" width="15.85546875" style="76" customWidth="1"/>
    <col min="11782" max="11782" width="18.7109375" style="76" customWidth="1"/>
    <col min="11783" max="11783" width="10.7109375" style="76" customWidth="1"/>
    <col min="11784" max="11784" width="17.7109375" style="76" customWidth="1"/>
    <col min="11785" max="11785" width="10.7109375" style="76" customWidth="1"/>
    <col min="11786" max="11786" width="17.7109375" style="76" customWidth="1"/>
    <col min="11787" max="11787" width="10.7109375" style="76" customWidth="1"/>
    <col min="11788" max="11788" width="17.7109375" style="76" customWidth="1"/>
    <col min="11789" max="11789" width="10.7109375" style="76" customWidth="1"/>
    <col min="11790" max="11790" width="17.7109375" style="76" customWidth="1"/>
    <col min="11791" max="11795" width="0" style="76" hidden="1" customWidth="1"/>
    <col min="11796" max="11796" width="5.7109375" style="76" customWidth="1"/>
    <col min="11797" max="11797" width="18.28515625" style="76" customWidth="1"/>
    <col min="11798" max="11798" width="11.42578125" style="76" customWidth="1"/>
    <col min="11799" max="11799" width="19.140625" style="76" customWidth="1"/>
    <col min="11800" max="11800" width="14.28515625" style="76" bestFit="1" customWidth="1"/>
    <col min="11801" max="12032" width="11.42578125" style="76"/>
    <col min="12033" max="12033" width="10.85546875" style="76" customWidth="1"/>
    <col min="12034" max="12034" width="49.140625" style="76" customWidth="1"/>
    <col min="12035" max="12035" width="16.42578125" style="76" customWidth="1"/>
    <col min="12036" max="12036" width="12.140625" style="76" customWidth="1"/>
    <col min="12037" max="12037" width="15.85546875" style="76" customWidth="1"/>
    <col min="12038" max="12038" width="18.7109375" style="76" customWidth="1"/>
    <col min="12039" max="12039" width="10.7109375" style="76" customWidth="1"/>
    <col min="12040" max="12040" width="17.7109375" style="76" customWidth="1"/>
    <col min="12041" max="12041" width="10.7109375" style="76" customWidth="1"/>
    <col min="12042" max="12042" width="17.7109375" style="76" customWidth="1"/>
    <col min="12043" max="12043" width="10.7109375" style="76" customWidth="1"/>
    <col min="12044" max="12044" width="17.7109375" style="76" customWidth="1"/>
    <col min="12045" max="12045" width="10.7109375" style="76" customWidth="1"/>
    <col min="12046" max="12046" width="17.7109375" style="76" customWidth="1"/>
    <col min="12047" max="12051" width="0" style="76" hidden="1" customWidth="1"/>
    <col min="12052" max="12052" width="5.7109375" style="76" customWidth="1"/>
    <col min="12053" max="12053" width="18.28515625" style="76" customWidth="1"/>
    <col min="12054" max="12054" width="11.42578125" style="76" customWidth="1"/>
    <col min="12055" max="12055" width="19.140625" style="76" customWidth="1"/>
    <col min="12056" max="12056" width="14.28515625" style="76" bestFit="1" customWidth="1"/>
    <col min="12057" max="12288" width="11.42578125" style="76"/>
    <col min="12289" max="12289" width="10.85546875" style="76" customWidth="1"/>
    <col min="12290" max="12290" width="49.140625" style="76" customWidth="1"/>
    <col min="12291" max="12291" width="16.42578125" style="76" customWidth="1"/>
    <col min="12292" max="12292" width="12.140625" style="76" customWidth="1"/>
    <col min="12293" max="12293" width="15.85546875" style="76" customWidth="1"/>
    <col min="12294" max="12294" width="18.7109375" style="76" customWidth="1"/>
    <col min="12295" max="12295" width="10.7109375" style="76" customWidth="1"/>
    <col min="12296" max="12296" width="17.7109375" style="76" customWidth="1"/>
    <col min="12297" max="12297" width="10.7109375" style="76" customWidth="1"/>
    <col min="12298" max="12298" width="17.7109375" style="76" customWidth="1"/>
    <col min="12299" max="12299" width="10.7109375" style="76" customWidth="1"/>
    <col min="12300" max="12300" width="17.7109375" style="76" customWidth="1"/>
    <col min="12301" max="12301" width="10.7109375" style="76" customWidth="1"/>
    <col min="12302" max="12302" width="17.7109375" style="76" customWidth="1"/>
    <col min="12303" max="12307" width="0" style="76" hidden="1" customWidth="1"/>
    <col min="12308" max="12308" width="5.7109375" style="76" customWidth="1"/>
    <col min="12309" max="12309" width="18.28515625" style="76" customWidth="1"/>
    <col min="12310" max="12310" width="11.42578125" style="76" customWidth="1"/>
    <col min="12311" max="12311" width="19.140625" style="76" customWidth="1"/>
    <col min="12312" max="12312" width="14.28515625" style="76" bestFit="1" customWidth="1"/>
    <col min="12313" max="12544" width="11.42578125" style="76"/>
    <col min="12545" max="12545" width="10.85546875" style="76" customWidth="1"/>
    <col min="12546" max="12546" width="49.140625" style="76" customWidth="1"/>
    <col min="12547" max="12547" width="16.42578125" style="76" customWidth="1"/>
    <col min="12548" max="12548" width="12.140625" style="76" customWidth="1"/>
    <col min="12549" max="12549" width="15.85546875" style="76" customWidth="1"/>
    <col min="12550" max="12550" width="18.7109375" style="76" customWidth="1"/>
    <col min="12551" max="12551" width="10.7109375" style="76" customWidth="1"/>
    <col min="12552" max="12552" width="17.7109375" style="76" customWidth="1"/>
    <col min="12553" max="12553" width="10.7109375" style="76" customWidth="1"/>
    <col min="12554" max="12554" width="17.7109375" style="76" customWidth="1"/>
    <col min="12555" max="12555" width="10.7109375" style="76" customWidth="1"/>
    <col min="12556" max="12556" width="17.7109375" style="76" customWidth="1"/>
    <col min="12557" max="12557" width="10.7109375" style="76" customWidth="1"/>
    <col min="12558" max="12558" width="17.7109375" style="76" customWidth="1"/>
    <col min="12559" max="12563" width="0" style="76" hidden="1" customWidth="1"/>
    <col min="12564" max="12564" width="5.7109375" style="76" customWidth="1"/>
    <col min="12565" max="12565" width="18.28515625" style="76" customWidth="1"/>
    <col min="12566" max="12566" width="11.42578125" style="76" customWidth="1"/>
    <col min="12567" max="12567" width="19.140625" style="76" customWidth="1"/>
    <col min="12568" max="12568" width="14.28515625" style="76" bestFit="1" customWidth="1"/>
    <col min="12569" max="12800" width="11.42578125" style="76"/>
    <col min="12801" max="12801" width="10.85546875" style="76" customWidth="1"/>
    <col min="12802" max="12802" width="49.140625" style="76" customWidth="1"/>
    <col min="12803" max="12803" width="16.42578125" style="76" customWidth="1"/>
    <col min="12804" max="12804" width="12.140625" style="76" customWidth="1"/>
    <col min="12805" max="12805" width="15.85546875" style="76" customWidth="1"/>
    <col min="12806" max="12806" width="18.7109375" style="76" customWidth="1"/>
    <col min="12807" max="12807" width="10.7109375" style="76" customWidth="1"/>
    <col min="12808" max="12808" width="17.7109375" style="76" customWidth="1"/>
    <col min="12809" max="12809" width="10.7109375" style="76" customWidth="1"/>
    <col min="12810" max="12810" width="17.7109375" style="76" customWidth="1"/>
    <col min="12811" max="12811" width="10.7109375" style="76" customWidth="1"/>
    <col min="12812" max="12812" width="17.7109375" style="76" customWidth="1"/>
    <col min="12813" max="12813" width="10.7109375" style="76" customWidth="1"/>
    <col min="12814" max="12814" width="17.7109375" style="76" customWidth="1"/>
    <col min="12815" max="12819" width="0" style="76" hidden="1" customWidth="1"/>
    <col min="12820" max="12820" width="5.7109375" style="76" customWidth="1"/>
    <col min="12821" max="12821" width="18.28515625" style="76" customWidth="1"/>
    <col min="12822" max="12822" width="11.42578125" style="76" customWidth="1"/>
    <col min="12823" max="12823" width="19.140625" style="76" customWidth="1"/>
    <col min="12824" max="12824" width="14.28515625" style="76" bestFit="1" customWidth="1"/>
    <col min="12825" max="13056" width="11.42578125" style="76"/>
    <col min="13057" max="13057" width="10.85546875" style="76" customWidth="1"/>
    <col min="13058" max="13058" width="49.140625" style="76" customWidth="1"/>
    <col min="13059" max="13059" width="16.42578125" style="76" customWidth="1"/>
    <col min="13060" max="13060" width="12.140625" style="76" customWidth="1"/>
    <col min="13061" max="13061" width="15.85546875" style="76" customWidth="1"/>
    <col min="13062" max="13062" width="18.7109375" style="76" customWidth="1"/>
    <col min="13063" max="13063" width="10.7109375" style="76" customWidth="1"/>
    <col min="13064" max="13064" width="17.7109375" style="76" customWidth="1"/>
    <col min="13065" max="13065" width="10.7109375" style="76" customWidth="1"/>
    <col min="13066" max="13066" width="17.7109375" style="76" customWidth="1"/>
    <col min="13067" max="13067" width="10.7109375" style="76" customWidth="1"/>
    <col min="13068" max="13068" width="17.7109375" style="76" customWidth="1"/>
    <col min="13069" max="13069" width="10.7109375" style="76" customWidth="1"/>
    <col min="13070" max="13070" width="17.7109375" style="76" customWidth="1"/>
    <col min="13071" max="13075" width="0" style="76" hidden="1" customWidth="1"/>
    <col min="13076" max="13076" width="5.7109375" style="76" customWidth="1"/>
    <col min="13077" max="13077" width="18.28515625" style="76" customWidth="1"/>
    <col min="13078" max="13078" width="11.42578125" style="76" customWidth="1"/>
    <col min="13079" max="13079" width="19.140625" style="76" customWidth="1"/>
    <col min="13080" max="13080" width="14.28515625" style="76" bestFit="1" customWidth="1"/>
    <col min="13081" max="13312" width="11.42578125" style="76"/>
    <col min="13313" max="13313" width="10.85546875" style="76" customWidth="1"/>
    <col min="13314" max="13314" width="49.140625" style="76" customWidth="1"/>
    <col min="13315" max="13315" width="16.42578125" style="76" customWidth="1"/>
    <col min="13316" max="13316" width="12.140625" style="76" customWidth="1"/>
    <col min="13317" max="13317" width="15.85546875" style="76" customWidth="1"/>
    <col min="13318" max="13318" width="18.7109375" style="76" customWidth="1"/>
    <col min="13319" max="13319" width="10.7109375" style="76" customWidth="1"/>
    <col min="13320" max="13320" width="17.7109375" style="76" customWidth="1"/>
    <col min="13321" max="13321" width="10.7109375" style="76" customWidth="1"/>
    <col min="13322" max="13322" width="17.7109375" style="76" customWidth="1"/>
    <col min="13323" max="13323" width="10.7109375" style="76" customWidth="1"/>
    <col min="13324" max="13324" width="17.7109375" style="76" customWidth="1"/>
    <col min="13325" max="13325" width="10.7109375" style="76" customWidth="1"/>
    <col min="13326" max="13326" width="17.7109375" style="76" customWidth="1"/>
    <col min="13327" max="13331" width="0" style="76" hidden="1" customWidth="1"/>
    <col min="13332" max="13332" width="5.7109375" style="76" customWidth="1"/>
    <col min="13333" max="13333" width="18.28515625" style="76" customWidth="1"/>
    <col min="13334" max="13334" width="11.42578125" style="76" customWidth="1"/>
    <col min="13335" max="13335" width="19.140625" style="76" customWidth="1"/>
    <col min="13336" max="13336" width="14.28515625" style="76" bestFit="1" customWidth="1"/>
    <col min="13337" max="13568" width="11.42578125" style="76"/>
    <col min="13569" max="13569" width="10.85546875" style="76" customWidth="1"/>
    <col min="13570" max="13570" width="49.140625" style="76" customWidth="1"/>
    <col min="13571" max="13571" width="16.42578125" style="76" customWidth="1"/>
    <col min="13572" max="13572" width="12.140625" style="76" customWidth="1"/>
    <col min="13573" max="13573" width="15.85546875" style="76" customWidth="1"/>
    <col min="13574" max="13574" width="18.7109375" style="76" customWidth="1"/>
    <col min="13575" max="13575" width="10.7109375" style="76" customWidth="1"/>
    <col min="13576" max="13576" width="17.7109375" style="76" customWidth="1"/>
    <col min="13577" max="13577" width="10.7109375" style="76" customWidth="1"/>
    <col min="13578" max="13578" width="17.7109375" style="76" customWidth="1"/>
    <col min="13579" max="13579" width="10.7109375" style="76" customWidth="1"/>
    <col min="13580" max="13580" width="17.7109375" style="76" customWidth="1"/>
    <col min="13581" max="13581" width="10.7109375" style="76" customWidth="1"/>
    <col min="13582" max="13582" width="17.7109375" style="76" customWidth="1"/>
    <col min="13583" max="13587" width="0" style="76" hidden="1" customWidth="1"/>
    <col min="13588" max="13588" width="5.7109375" style="76" customWidth="1"/>
    <col min="13589" max="13589" width="18.28515625" style="76" customWidth="1"/>
    <col min="13590" max="13590" width="11.42578125" style="76" customWidth="1"/>
    <col min="13591" max="13591" width="19.140625" style="76" customWidth="1"/>
    <col min="13592" max="13592" width="14.28515625" style="76" bestFit="1" customWidth="1"/>
    <col min="13593" max="13824" width="11.42578125" style="76"/>
    <col min="13825" max="13825" width="10.85546875" style="76" customWidth="1"/>
    <col min="13826" max="13826" width="49.140625" style="76" customWidth="1"/>
    <col min="13827" max="13827" width="16.42578125" style="76" customWidth="1"/>
    <col min="13828" max="13828" width="12.140625" style="76" customWidth="1"/>
    <col min="13829" max="13829" width="15.85546875" style="76" customWidth="1"/>
    <col min="13830" max="13830" width="18.7109375" style="76" customWidth="1"/>
    <col min="13831" max="13831" width="10.7109375" style="76" customWidth="1"/>
    <col min="13832" max="13832" width="17.7109375" style="76" customWidth="1"/>
    <col min="13833" max="13833" width="10.7109375" style="76" customWidth="1"/>
    <col min="13834" max="13834" width="17.7109375" style="76" customWidth="1"/>
    <col min="13835" max="13835" width="10.7109375" style="76" customWidth="1"/>
    <col min="13836" max="13836" width="17.7109375" style="76" customWidth="1"/>
    <col min="13837" max="13837" width="10.7109375" style="76" customWidth="1"/>
    <col min="13838" max="13838" width="17.7109375" style="76" customWidth="1"/>
    <col min="13839" max="13843" width="0" style="76" hidden="1" customWidth="1"/>
    <col min="13844" max="13844" width="5.7109375" style="76" customWidth="1"/>
    <col min="13845" max="13845" width="18.28515625" style="76" customWidth="1"/>
    <col min="13846" max="13846" width="11.42578125" style="76" customWidth="1"/>
    <col min="13847" max="13847" width="19.140625" style="76" customWidth="1"/>
    <col min="13848" max="13848" width="14.28515625" style="76" bestFit="1" customWidth="1"/>
    <col min="13849" max="14080" width="11.42578125" style="76"/>
    <col min="14081" max="14081" width="10.85546875" style="76" customWidth="1"/>
    <col min="14082" max="14082" width="49.140625" style="76" customWidth="1"/>
    <col min="14083" max="14083" width="16.42578125" style="76" customWidth="1"/>
    <col min="14084" max="14084" width="12.140625" style="76" customWidth="1"/>
    <col min="14085" max="14085" width="15.85546875" style="76" customWidth="1"/>
    <col min="14086" max="14086" width="18.7109375" style="76" customWidth="1"/>
    <col min="14087" max="14087" width="10.7109375" style="76" customWidth="1"/>
    <col min="14088" max="14088" width="17.7109375" style="76" customWidth="1"/>
    <col min="14089" max="14089" width="10.7109375" style="76" customWidth="1"/>
    <col min="14090" max="14090" width="17.7109375" style="76" customWidth="1"/>
    <col min="14091" max="14091" width="10.7109375" style="76" customWidth="1"/>
    <col min="14092" max="14092" width="17.7109375" style="76" customWidth="1"/>
    <col min="14093" max="14093" width="10.7109375" style="76" customWidth="1"/>
    <col min="14094" max="14094" width="17.7109375" style="76" customWidth="1"/>
    <col min="14095" max="14099" width="0" style="76" hidden="1" customWidth="1"/>
    <col min="14100" max="14100" width="5.7109375" style="76" customWidth="1"/>
    <col min="14101" max="14101" width="18.28515625" style="76" customWidth="1"/>
    <col min="14102" max="14102" width="11.42578125" style="76" customWidth="1"/>
    <col min="14103" max="14103" width="19.140625" style="76" customWidth="1"/>
    <col min="14104" max="14104" width="14.28515625" style="76" bestFit="1" customWidth="1"/>
    <col min="14105" max="14336" width="11.42578125" style="76"/>
    <col min="14337" max="14337" width="10.85546875" style="76" customWidth="1"/>
    <col min="14338" max="14338" width="49.140625" style="76" customWidth="1"/>
    <col min="14339" max="14339" width="16.42578125" style="76" customWidth="1"/>
    <col min="14340" max="14340" width="12.140625" style="76" customWidth="1"/>
    <col min="14341" max="14341" width="15.85546875" style="76" customWidth="1"/>
    <col min="14342" max="14342" width="18.7109375" style="76" customWidth="1"/>
    <col min="14343" max="14343" width="10.7109375" style="76" customWidth="1"/>
    <col min="14344" max="14344" width="17.7109375" style="76" customWidth="1"/>
    <col min="14345" max="14345" width="10.7109375" style="76" customWidth="1"/>
    <col min="14346" max="14346" width="17.7109375" style="76" customWidth="1"/>
    <col min="14347" max="14347" width="10.7109375" style="76" customWidth="1"/>
    <col min="14348" max="14348" width="17.7109375" style="76" customWidth="1"/>
    <col min="14349" max="14349" width="10.7109375" style="76" customWidth="1"/>
    <col min="14350" max="14350" width="17.7109375" style="76" customWidth="1"/>
    <col min="14351" max="14355" width="0" style="76" hidden="1" customWidth="1"/>
    <col min="14356" max="14356" width="5.7109375" style="76" customWidth="1"/>
    <col min="14357" max="14357" width="18.28515625" style="76" customWidth="1"/>
    <col min="14358" max="14358" width="11.42578125" style="76" customWidth="1"/>
    <col min="14359" max="14359" width="19.140625" style="76" customWidth="1"/>
    <col min="14360" max="14360" width="14.28515625" style="76" bestFit="1" customWidth="1"/>
    <col min="14361" max="14592" width="11.42578125" style="76"/>
    <col min="14593" max="14593" width="10.85546875" style="76" customWidth="1"/>
    <col min="14594" max="14594" width="49.140625" style="76" customWidth="1"/>
    <col min="14595" max="14595" width="16.42578125" style="76" customWidth="1"/>
    <col min="14596" max="14596" width="12.140625" style="76" customWidth="1"/>
    <col min="14597" max="14597" width="15.85546875" style="76" customWidth="1"/>
    <col min="14598" max="14598" width="18.7109375" style="76" customWidth="1"/>
    <col min="14599" max="14599" width="10.7109375" style="76" customWidth="1"/>
    <col min="14600" max="14600" width="17.7109375" style="76" customWidth="1"/>
    <col min="14601" max="14601" width="10.7109375" style="76" customWidth="1"/>
    <col min="14602" max="14602" width="17.7109375" style="76" customWidth="1"/>
    <col min="14603" max="14603" width="10.7109375" style="76" customWidth="1"/>
    <col min="14604" max="14604" width="17.7109375" style="76" customWidth="1"/>
    <col min="14605" max="14605" width="10.7109375" style="76" customWidth="1"/>
    <col min="14606" max="14606" width="17.7109375" style="76" customWidth="1"/>
    <col min="14607" max="14611" width="0" style="76" hidden="1" customWidth="1"/>
    <col min="14612" max="14612" width="5.7109375" style="76" customWidth="1"/>
    <col min="14613" max="14613" width="18.28515625" style="76" customWidth="1"/>
    <col min="14614" max="14614" width="11.42578125" style="76" customWidth="1"/>
    <col min="14615" max="14615" width="19.140625" style="76" customWidth="1"/>
    <col min="14616" max="14616" width="14.28515625" style="76" bestFit="1" customWidth="1"/>
    <col min="14617" max="14848" width="11.42578125" style="76"/>
    <col min="14849" max="14849" width="10.85546875" style="76" customWidth="1"/>
    <col min="14850" max="14850" width="49.140625" style="76" customWidth="1"/>
    <col min="14851" max="14851" width="16.42578125" style="76" customWidth="1"/>
    <col min="14852" max="14852" width="12.140625" style="76" customWidth="1"/>
    <col min="14853" max="14853" width="15.85546875" style="76" customWidth="1"/>
    <col min="14854" max="14854" width="18.7109375" style="76" customWidth="1"/>
    <col min="14855" max="14855" width="10.7109375" style="76" customWidth="1"/>
    <col min="14856" max="14856" width="17.7109375" style="76" customWidth="1"/>
    <col min="14857" max="14857" width="10.7109375" style="76" customWidth="1"/>
    <col min="14858" max="14858" width="17.7109375" style="76" customWidth="1"/>
    <col min="14859" max="14859" width="10.7109375" style="76" customWidth="1"/>
    <col min="14860" max="14860" width="17.7109375" style="76" customWidth="1"/>
    <col min="14861" max="14861" width="10.7109375" style="76" customWidth="1"/>
    <col min="14862" max="14862" width="17.7109375" style="76" customWidth="1"/>
    <col min="14863" max="14867" width="0" style="76" hidden="1" customWidth="1"/>
    <col min="14868" max="14868" width="5.7109375" style="76" customWidth="1"/>
    <col min="14869" max="14869" width="18.28515625" style="76" customWidth="1"/>
    <col min="14870" max="14870" width="11.42578125" style="76" customWidth="1"/>
    <col min="14871" max="14871" width="19.140625" style="76" customWidth="1"/>
    <col min="14872" max="14872" width="14.28515625" style="76" bestFit="1" customWidth="1"/>
    <col min="14873" max="15104" width="11.42578125" style="76"/>
    <col min="15105" max="15105" width="10.85546875" style="76" customWidth="1"/>
    <col min="15106" max="15106" width="49.140625" style="76" customWidth="1"/>
    <col min="15107" max="15107" width="16.42578125" style="76" customWidth="1"/>
    <col min="15108" max="15108" width="12.140625" style="76" customWidth="1"/>
    <col min="15109" max="15109" width="15.85546875" style="76" customWidth="1"/>
    <col min="15110" max="15110" width="18.7109375" style="76" customWidth="1"/>
    <col min="15111" max="15111" width="10.7109375" style="76" customWidth="1"/>
    <col min="15112" max="15112" width="17.7109375" style="76" customWidth="1"/>
    <col min="15113" max="15113" width="10.7109375" style="76" customWidth="1"/>
    <col min="15114" max="15114" width="17.7109375" style="76" customWidth="1"/>
    <col min="15115" max="15115" width="10.7109375" style="76" customWidth="1"/>
    <col min="15116" max="15116" width="17.7109375" style="76" customWidth="1"/>
    <col min="15117" max="15117" width="10.7109375" style="76" customWidth="1"/>
    <col min="15118" max="15118" width="17.7109375" style="76" customWidth="1"/>
    <col min="15119" max="15123" width="0" style="76" hidden="1" customWidth="1"/>
    <col min="15124" max="15124" width="5.7109375" style="76" customWidth="1"/>
    <col min="15125" max="15125" width="18.28515625" style="76" customWidth="1"/>
    <col min="15126" max="15126" width="11.42578125" style="76" customWidth="1"/>
    <col min="15127" max="15127" width="19.140625" style="76" customWidth="1"/>
    <col min="15128" max="15128" width="14.28515625" style="76" bestFit="1" customWidth="1"/>
    <col min="15129" max="15360" width="11.42578125" style="76"/>
    <col min="15361" max="15361" width="10.85546875" style="76" customWidth="1"/>
    <col min="15362" max="15362" width="49.140625" style="76" customWidth="1"/>
    <col min="15363" max="15363" width="16.42578125" style="76" customWidth="1"/>
    <col min="15364" max="15364" width="12.140625" style="76" customWidth="1"/>
    <col min="15365" max="15365" width="15.85546875" style="76" customWidth="1"/>
    <col min="15366" max="15366" width="18.7109375" style="76" customWidth="1"/>
    <col min="15367" max="15367" width="10.7109375" style="76" customWidth="1"/>
    <col min="15368" max="15368" width="17.7109375" style="76" customWidth="1"/>
    <col min="15369" max="15369" width="10.7109375" style="76" customWidth="1"/>
    <col min="15370" max="15370" width="17.7109375" style="76" customWidth="1"/>
    <col min="15371" max="15371" width="10.7109375" style="76" customWidth="1"/>
    <col min="15372" max="15372" width="17.7109375" style="76" customWidth="1"/>
    <col min="15373" max="15373" width="10.7109375" style="76" customWidth="1"/>
    <col min="15374" max="15374" width="17.7109375" style="76" customWidth="1"/>
    <col min="15375" max="15379" width="0" style="76" hidden="1" customWidth="1"/>
    <col min="15380" max="15380" width="5.7109375" style="76" customWidth="1"/>
    <col min="15381" max="15381" width="18.28515625" style="76" customWidth="1"/>
    <col min="15382" max="15382" width="11.42578125" style="76" customWidth="1"/>
    <col min="15383" max="15383" width="19.140625" style="76" customWidth="1"/>
    <col min="15384" max="15384" width="14.28515625" style="76" bestFit="1" customWidth="1"/>
    <col min="15385" max="15616" width="11.42578125" style="76"/>
    <col min="15617" max="15617" width="10.85546875" style="76" customWidth="1"/>
    <col min="15618" max="15618" width="49.140625" style="76" customWidth="1"/>
    <col min="15619" max="15619" width="16.42578125" style="76" customWidth="1"/>
    <col min="15620" max="15620" width="12.140625" style="76" customWidth="1"/>
    <col min="15621" max="15621" width="15.85546875" style="76" customWidth="1"/>
    <col min="15622" max="15622" width="18.7109375" style="76" customWidth="1"/>
    <col min="15623" max="15623" width="10.7109375" style="76" customWidth="1"/>
    <col min="15624" max="15624" width="17.7109375" style="76" customWidth="1"/>
    <col min="15625" max="15625" width="10.7109375" style="76" customWidth="1"/>
    <col min="15626" max="15626" width="17.7109375" style="76" customWidth="1"/>
    <col min="15627" max="15627" width="10.7109375" style="76" customWidth="1"/>
    <col min="15628" max="15628" width="17.7109375" style="76" customWidth="1"/>
    <col min="15629" max="15629" width="10.7109375" style="76" customWidth="1"/>
    <col min="15630" max="15630" width="17.7109375" style="76" customWidth="1"/>
    <col min="15631" max="15635" width="0" style="76" hidden="1" customWidth="1"/>
    <col min="15636" max="15636" width="5.7109375" style="76" customWidth="1"/>
    <col min="15637" max="15637" width="18.28515625" style="76" customWidth="1"/>
    <col min="15638" max="15638" width="11.42578125" style="76" customWidth="1"/>
    <col min="15639" max="15639" width="19.140625" style="76" customWidth="1"/>
    <col min="15640" max="15640" width="14.28515625" style="76" bestFit="1" customWidth="1"/>
    <col min="15641" max="15872" width="11.42578125" style="76"/>
    <col min="15873" max="15873" width="10.85546875" style="76" customWidth="1"/>
    <col min="15874" max="15874" width="49.140625" style="76" customWidth="1"/>
    <col min="15875" max="15875" width="16.42578125" style="76" customWidth="1"/>
    <col min="15876" max="15876" width="12.140625" style="76" customWidth="1"/>
    <col min="15877" max="15877" width="15.85546875" style="76" customWidth="1"/>
    <col min="15878" max="15878" width="18.7109375" style="76" customWidth="1"/>
    <col min="15879" max="15879" width="10.7109375" style="76" customWidth="1"/>
    <col min="15880" max="15880" width="17.7109375" style="76" customWidth="1"/>
    <col min="15881" max="15881" width="10.7109375" style="76" customWidth="1"/>
    <col min="15882" max="15882" width="17.7109375" style="76" customWidth="1"/>
    <col min="15883" max="15883" width="10.7109375" style="76" customWidth="1"/>
    <col min="15884" max="15884" width="17.7109375" style="76" customWidth="1"/>
    <col min="15885" max="15885" width="10.7109375" style="76" customWidth="1"/>
    <col min="15886" max="15886" width="17.7109375" style="76" customWidth="1"/>
    <col min="15887" max="15891" width="0" style="76" hidden="1" customWidth="1"/>
    <col min="15892" max="15892" width="5.7109375" style="76" customWidth="1"/>
    <col min="15893" max="15893" width="18.28515625" style="76" customWidth="1"/>
    <col min="15894" max="15894" width="11.42578125" style="76" customWidth="1"/>
    <col min="15895" max="15895" width="19.140625" style="76" customWidth="1"/>
    <col min="15896" max="15896" width="14.28515625" style="76" bestFit="1" customWidth="1"/>
    <col min="15897" max="16128" width="11.42578125" style="76"/>
    <col min="16129" max="16129" width="10.85546875" style="76" customWidth="1"/>
    <col min="16130" max="16130" width="49.140625" style="76" customWidth="1"/>
    <col min="16131" max="16131" width="16.42578125" style="76" customWidth="1"/>
    <col min="16132" max="16132" width="12.140625" style="76" customWidth="1"/>
    <col min="16133" max="16133" width="15.85546875" style="76" customWidth="1"/>
    <col min="16134" max="16134" width="18.7109375" style="76" customWidth="1"/>
    <col min="16135" max="16135" width="10.7109375" style="76" customWidth="1"/>
    <col min="16136" max="16136" width="17.7109375" style="76" customWidth="1"/>
    <col min="16137" max="16137" width="10.7109375" style="76" customWidth="1"/>
    <col min="16138" max="16138" width="17.7109375" style="76" customWidth="1"/>
    <col min="16139" max="16139" width="10.7109375" style="76" customWidth="1"/>
    <col min="16140" max="16140" width="17.7109375" style="76" customWidth="1"/>
    <col min="16141" max="16141" width="10.7109375" style="76" customWidth="1"/>
    <col min="16142" max="16142" width="17.7109375" style="76" customWidth="1"/>
    <col min="16143" max="16147" width="0" style="76" hidden="1" customWidth="1"/>
    <col min="16148" max="16148" width="5.7109375" style="76" customWidth="1"/>
    <col min="16149" max="16149" width="18.28515625" style="76" customWidth="1"/>
    <col min="16150" max="16150" width="11.42578125" style="76" customWidth="1"/>
    <col min="16151" max="16151" width="19.140625" style="76" customWidth="1"/>
    <col min="16152" max="16152" width="14.28515625" style="76" bestFit="1" customWidth="1"/>
    <col min="16153" max="16384" width="11.42578125" style="76"/>
  </cols>
  <sheetData>
    <row r="1" spans="1:24" ht="30" customHeight="1">
      <c r="A1" s="612" t="str">
        <f>[4]SERVIÇOS!A1</f>
        <v>UNIVERSIDADE FEDERAL DA BAHIA</v>
      </c>
      <c r="B1" s="613"/>
      <c r="C1" s="613"/>
      <c r="D1" s="613"/>
      <c r="E1" s="613"/>
      <c r="F1" s="71"/>
      <c r="G1" s="72"/>
      <c r="H1" s="73"/>
      <c r="I1" s="73"/>
      <c r="J1" s="73"/>
      <c r="K1" s="73"/>
      <c r="L1" s="73"/>
      <c r="M1" s="74"/>
      <c r="N1" s="75"/>
      <c r="O1" s="73"/>
      <c r="P1" s="73"/>
      <c r="Q1" s="73"/>
      <c r="R1" s="73"/>
      <c r="S1" s="75"/>
    </row>
    <row r="2" spans="1:24" ht="25.5" customHeight="1">
      <c r="A2" s="649" t="str">
        <f>[4]SERVIÇOS!A2</f>
        <v xml:space="preserve">SUPERINTENDÊNCIA DE MEIO AMBIENTE E INFRAESTRUTURA   </v>
      </c>
      <c r="B2" s="650"/>
      <c r="C2" s="650"/>
      <c r="D2" s="650"/>
      <c r="E2" s="650"/>
      <c r="F2" s="78"/>
      <c r="G2" s="79"/>
      <c r="H2" s="80"/>
      <c r="I2" s="80"/>
      <c r="J2" s="80"/>
      <c r="K2" s="80"/>
      <c r="L2" s="80"/>
      <c r="M2" s="81"/>
      <c r="N2" s="82"/>
      <c r="O2" s="80"/>
      <c r="P2" s="80"/>
      <c r="Q2" s="80"/>
      <c r="R2" s="80"/>
      <c r="S2" s="82"/>
    </row>
    <row r="3" spans="1:24" ht="23.25" customHeight="1">
      <c r="A3" s="651" t="str">
        <f>[4]SERVIÇOS!A3</f>
        <v>COORDENAÇÃO DE ORÇAMENTO E PLANEJAMENTO</v>
      </c>
      <c r="B3" s="652"/>
      <c r="C3" s="652"/>
      <c r="D3" s="652"/>
      <c r="E3" s="652"/>
      <c r="F3" s="78"/>
      <c r="G3" s="79"/>
      <c r="H3" s="80"/>
      <c r="I3" s="80"/>
      <c r="J3" s="80"/>
      <c r="K3" s="80"/>
      <c r="L3" s="80"/>
      <c r="M3" s="81"/>
      <c r="N3" s="82"/>
      <c r="O3" s="80"/>
      <c r="P3" s="80"/>
      <c r="Q3" s="80"/>
      <c r="R3" s="80"/>
      <c r="S3" s="82"/>
    </row>
    <row r="4" spans="1:24" ht="20.25">
      <c r="A4" s="83" t="s">
        <v>16</v>
      </c>
      <c r="B4" s="84"/>
      <c r="C4" s="85"/>
      <c r="D4" s="86"/>
      <c r="E4" s="653" t="s">
        <v>17</v>
      </c>
      <c r="F4" s="653"/>
      <c r="G4" s="79"/>
      <c r="H4" s="80"/>
      <c r="I4" s="80"/>
      <c r="J4" s="80"/>
      <c r="K4" s="80"/>
      <c r="L4" s="80"/>
      <c r="M4" s="81"/>
      <c r="N4" s="82"/>
      <c r="O4" s="80"/>
      <c r="P4" s="80"/>
      <c r="Q4" s="80"/>
      <c r="R4" s="80"/>
      <c r="S4" s="82"/>
    </row>
    <row r="5" spans="1:24" ht="18" customHeight="1">
      <c r="A5" s="654" t="str">
        <f>'Estimativa LABMETRO e USIMEC'!A5:C5</f>
        <v>REFORMA DO LABMETRO E USIMEC - ESCOLA POLITÉCNICA - UFBA</v>
      </c>
      <c r="B5" s="655"/>
      <c r="C5" s="655"/>
      <c r="D5" s="655"/>
      <c r="E5" s="656" t="s">
        <v>516</v>
      </c>
      <c r="F5" s="657"/>
      <c r="G5" s="79"/>
      <c r="H5" s="80"/>
      <c r="I5" s="80"/>
      <c r="J5" s="80"/>
      <c r="K5" s="80"/>
      <c r="L5" s="80"/>
      <c r="M5" s="81"/>
      <c r="N5" s="82"/>
      <c r="O5" s="80"/>
      <c r="P5" s="80"/>
      <c r="Q5" s="80"/>
      <c r="R5" s="80"/>
      <c r="S5" s="82"/>
    </row>
    <row r="6" spans="1:24" ht="18" customHeight="1">
      <c r="A6" s="658" t="s">
        <v>18</v>
      </c>
      <c r="B6" s="659"/>
      <c r="C6" s="85"/>
      <c r="D6" s="87"/>
      <c r="E6" s="653" t="s">
        <v>106</v>
      </c>
      <c r="F6" s="653"/>
      <c r="G6" s="660" t="s">
        <v>107</v>
      </c>
      <c r="H6" s="660"/>
      <c r="I6" s="660" t="s">
        <v>108</v>
      </c>
      <c r="J6" s="660"/>
      <c r="K6" s="88"/>
      <c r="L6" s="88"/>
      <c r="M6" s="81"/>
      <c r="N6" s="82"/>
      <c r="O6" s="80"/>
      <c r="P6" s="80"/>
      <c r="Q6" s="80"/>
      <c r="R6" s="80"/>
      <c r="S6" s="82"/>
      <c r="W6" s="76">
        <f>24*30</f>
        <v>720</v>
      </c>
    </row>
    <row r="7" spans="1:24" ht="21" thickBot="1">
      <c r="A7" s="664" t="str">
        <f>[4]SERVIÇOS!A7</f>
        <v>Campus Universitário da Federação, Salvador, Bahia</v>
      </c>
      <c r="B7" s="665"/>
      <c r="C7" s="665"/>
      <c r="D7" s="665"/>
      <c r="E7" s="661">
        <f>'Estimativa LABMETRO e USIMEC'!D7</f>
        <v>399.52</v>
      </c>
      <c r="F7" s="661"/>
      <c r="G7" s="662">
        <f>'Estimativa LABMETRO e USIMEC'!G269</f>
        <v>120926.4375</v>
      </c>
      <c r="H7" s="662"/>
      <c r="I7" s="663">
        <f>G7/E7</f>
        <v>302.67930892070484</v>
      </c>
      <c r="J7" s="663"/>
      <c r="K7" s="91"/>
      <c r="L7" s="91"/>
      <c r="M7" s="92"/>
      <c r="N7" s="93"/>
      <c r="O7" s="80"/>
      <c r="P7" s="80"/>
      <c r="Q7" s="80"/>
      <c r="R7" s="80"/>
      <c r="S7" s="82"/>
      <c r="T7" s="94" t="s">
        <v>31</v>
      </c>
      <c r="U7" s="95">
        <f>[4]SERVIÇOS!F209</f>
        <v>0.25</v>
      </c>
    </row>
    <row r="8" spans="1:24" ht="13.5" thickBot="1">
      <c r="A8" s="687" t="s">
        <v>109</v>
      </c>
      <c r="B8" s="688"/>
      <c r="C8" s="688"/>
      <c r="D8" s="688"/>
      <c r="E8" s="688"/>
      <c r="F8" s="688"/>
      <c r="G8" s="688"/>
      <c r="H8" s="688"/>
      <c r="I8" s="688"/>
      <c r="J8" s="688"/>
      <c r="K8" s="688"/>
      <c r="L8" s="688"/>
      <c r="M8" s="688"/>
      <c r="N8" s="689"/>
      <c r="O8" s="80"/>
      <c r="P8" s="80"/>
      <c r="Q8" s="80"/>
      <c r="R8" s="80"/>
      <c r="S8" s="82"/>
      <c r="T8" s="94" t="s">
        <v>31</v>
      </c>
      <c r="U8" s="95"/>
    </row>
    <row r="9" spans="1:24" ht="14.1" customHeight="1">
      <c r="A9" s="669" t="s">
        <v>20</v>
      </c>
      <c r="B9" s="671" t="s">
        <v>110</v>
      </c>
      <c r="C9" s="673" t="s">
        <v>111</v>
      </c>
      <c r="D9" s="675" t="s">
        <v>112</v>
      </c>
      <c r="E9" s="673" t="s">
        <v>113</v>
      </c>
      <c r="F9" s="677" t="s">
        <v>114</v>
      </c>
      <c r="G9" s="668" t="s">
        <v>115</v>
      </c>
      <c r="H9" s="668"/>
      <c r="I9" s="668" t="s">
        <v>116</v>
      </c>
      <c r="J9" s="668"/>
      <c r="K9" s="668"/>
      <c r="L9" s="668"/>
      <c r="M9" s="668"/>
      <c r="N9" s="690"/>
      <c r="O9" s="80"/>
      <c r="P9" s="80"/>
      <c r="Q9" s="80"/>
      <c r="R9" s="80"/>
      <c r="S9" s="82"/>
      <c r="T9" s="94"/>
      <c r="U9" s="96"/>
    </row>
    <row r="10" spans="1:24" ht="12.75" customHeight="1" thickBot="1">
      <c r="A10" s="670"/>
      <c r="B10" s="672"/>
      <c r="C10" s="674"/>
      <c r="D10" s="676"/>
      <c r="E10" s="674"/>
      <c r="F10" s="678"/>
      <c r="G10" s="463" t="s">
        <v>112</v>
      </c>
      <c r="H10" s="463" t="s">
        <v>117</v>
      </c>
      <c r="I10" s="463" t="s">
        <v>112</v>
      </c>
      <c r="J10" s="463" t="s">
        <v>117</v>
      </c>
      <c r="K10" s="463"/>
      <c r="L10" s="463"/>
      <c r="M10" s="464"/>
      <c r="N10" s="465"/>
      <c r="O10" s="80"/>
      <c r="P10" s="80"/>
      <c r="Q10" s="80"/>
      <c r="R10" s="80"/>
      <c r="S10" s="82"/>
      <c r="T10" s="94"/>
      <c r="U10" s="96"/>
    </row>
    <row r="11" spans="1:24" s="114" customFormat="1" ht="18" customHeight="1">
      <c r="A11" s="97">
        <v>2</v>
      </c>
      <c r="B11" s="98" t="str">
        <f>'Apoio Cronograma'!B6</f>
        <v>DEMOLIÇÕES / REMOÇÕES</v>
      </c>
      <c r="C11" s="99">
        <f>'Apoio Cronograma'!Q6</f>
        <v>1326.5399999999997</v>
      </c>
      <c r="D11" s="100">
        <f>F11/$G$7</f>
        <v>1.3712262051877611E-2</v>
      </c>
      <c r="E11" s="99">
        <f t="shared" ref="E11:E26" si="0">C11*$U$7</f>
        <v>331.63499999999993</v>
      </c>
      <c r="F11" s="99">
        <f t="shared" ref="F11:F26" si="1">E11+C11</f>
        <v>1658.1749999999997</v>
      </c>
      <c r="G11" s="135">
        <v>1</v>
      </c>
      <c r="H11" s="102">
        <f t="shared" ref="H11:H26" si="2">G11*F11</f>
        <v>1658.1749999999997</v>
      </c>
      <c r="I11" s="101"/>
      <c r="J11" s="102">
        <f t="shared" ref="J11:J26" si="3">I11*F11</f>
        <v>0</v>
      </c>
      <c r="K11" s="102"/>
      <c r="L11" s="102">
        <f>K11*F11</f>
        <v>0</v>
      </c>
      <c r="M11" s="103"/>
      <c r="N11" s="104">
        <f t="shared" ref="N11:N19" si="4">M11*F11</f>
        <v>0</v>
      </c>
      <c r="O11" s="105"/>
      <c r="P11" s="106"/>
      <c r="Q11" s="107"/>
      <c r="R11" s="106"/>
      <c r="S11" s="108"/>
      <c r="T11" s="109"/>
      <c r="U11" s="110">
        <f>G11+I11+M11+K11</f>
        <v>1</v>
      </c>
      <c r="V11" s="111">
        <v>30</v>
      </c>
      <c r="W11" s="112">
        <f>H35</f>
        <v>44323.718572664468</v>
      </c>
      <c r="X11" s="113">
        <f>G36</f>
        <v>0.36653456009290325</v>
      </c>
    </row>
    <row r="12" spans="1:24" s="114" customFormat="1" ht="18" customHeight="1">
      <c r="A12" s="115">
        <v>3</v>
      </c>
      <c r="B12" s="116" t="str">
        <f>'Apoio Cronograma'!B7</f>
        <v>ALVENARIA</v>
      </c>
      <c r="C12" s="99">
        <f>'Apoio Cronograma'!Q7</f>
        <v>3318.73</v>
      </c>
      <c r="D12" s="100">
        <f t="shared" ref="D12:D26" si="5">F12/$G$7</f>
        <v>3.4305256863289307E-2</v>
      </c>
      <c r="E12" s="99">
        <f t="shared" si="0"/>
        <v>829.6825</v>
      </c>
      <c r="F12" s="99">
        <f t="shared" si="1"/>
        <v>4148.4125000000004</v>
      </c>
      <c r="G12" s="117">
        <v>0.6</v>
      </c>
      <c r="H12" s="102">
        <f t="shared" si="2"/>
        <v>2489.0475000000001</v>
      </c>
      <c r="I12" s="118">
        <v>0.4</v>
      </c>
      <c r="J12" s="119">
        <f t="shared" si="3"/>
        <v>1659.3650000000002</v>
      </c>
      <c r="K12" s="119"/>
      <c r="L12" s="102">
        <f t="shared" ref="L12:L19" si="6">K12*F12</f>
        <v>0</v>
      </c>
      <c r="M12" s="120">
        <v>0</v>
      </c>
      <c r="N12" s="104">
        <f t="shared" si="4"/>
        <v>0</v>
      </c>
      <c r="O12" s="105"/>
      <c r="P12" s="106"/>
      <c r="Q12" s="107"/>
      <c r="R12" s="106"/>
      <c r="S12" s="108"/>
      <c r="T12" s="109"/>
      <c r="U12" s="110">
        <f t="shared" ref="U12:U35" si="7">G12+I12+M12+K12</f>
        <v>1</v>
      </c>
      <c r="V12" s="111">
        <f>V11+30</f>
        <v>60</v>
      </c>
      <c r="W12" s="112">
        <f>J35</f>
        <v>76602.718927335532</v>
      </c>
      <c r="X12" s="113">
        <f>I36</f>
        <v>0.99999999999999978</v>
      </c>
    </row>
    <row r="13" spans="1:24" s="114" customFormat="1" ht="18" customHeight="1">
      <c r="A13" s="115">
        <v>4</v>
      </c>
      <c r="B13" s="121" t="str">
        <f>'Apoio Cronograma'!B8</f>
        <v>BANCADAS</v>
      </c>
      <c r="C13" s="99">
        <f>'Apoio Cronograma'!Q8</f>
        <v>579.84</v>
      </c>
      <c r="D13" s="100">
        <f t="shared" si="5"/>
        <v>5.993726557933207E-3</v>
      </c>
      <c r="E13" s="99">
        <f t="shared" si="0"/>
        <v>144.96</v>
      </c>
      <c r="F13" s="99">
        <f t="shared" si="1"/>
        <v>724.80000000000007</v>
      </c>
      <c r="G13" s="117">
        <v>1</v>
      </c>
      <c r="H13" s="102">
        <f t="shared" si="2"/>
        <v>724.80000000000007</v>
      </c>
      <c r="I13" s="118"/>
      <c r="J13" s="119">
        <f t="shared" si="3"/>
        <v>0</v>
      </c>
      <c r="K13" s="118"/>
      <c r="L13" s="102">
        <f t="shared" si="6"/>
        <v>0</v>
      </c>
      <c r="M13" s="120"/>
      <c r="N13" s="104">
        <f t="shared" si="4"/>
        <v>0</v>
      </c>
      <c r="O13" s="105"/>
      <c r="P13" s="106"/>
      <c r="Q13" s="107"/>
      <c r="R13" s="106"/>
      <c r="S13" s="108"/>
      <c r="T13" s="109"/>
      <c r="U13" s="110">
        <f t="shared" si="7"/>
        <v>1</v>
      </c>
      <c r="V13" s="111"/>
      <c r="W13" s="112"/>
      <c r="X13" s="113"/>
    </row>
    <row r="14" spans="1:24" s="114" customFormat="1" ht="18" customHeight="1">
      <c r="A14" s="97">
        <v>5</v>
      </c>
      <c r="B14" s="122" t="str">
        <f>'Apoio Cronograma'!B9</f>
        <v>FORRO</v>
      </c>
      <c r="C14" s="99">
        <f>'Apoio Cronograma'!Q9</f>
        <v>16874.68</v>
      </c>
      <c r="D14" s="100">
        <f t="shared" si="5"/>
        <v>0.17443125288463077</v>
      </c>
      <c r="E14" s="99">
        <f t="shared" si="0"/>
        <v>4218.67</v>
      </c>
      <c r="F14" s="99">
        <f t="shared" si="1"/>
        <v>21093.35</v>
      </c>
      <c r="G14" s="117">
        <v>0.6</v>
      </c>
      <c r="H14" s="102">
        <f t="shared" si="2"/>
        <v>12656.009999999998</v>
      </c>
      <c r="I14" s="118">
        <v>0.4</v>
      </c>
      <c r="J14" s="119">
        <f t="shared" si="3"/>
        <v>8437.34</v>
      </c>
      <c r="K14" s="118"/>
      <c r="L14" s="102">
        <f t="shared" si="6"/>
        <v>0</v>
      </c>
      <c r="M14" s="120"/>
      <c r="N14" s="104">
        <f t="shared" si="4"/>
        <v>0</v>
      </c>
      <c r="O14" s="105"/>
      <c r="P14" s="106"/>
      <c r="Q14" s="107"/>
      <c r="R14" s="106"/>
      <c r="S14" s="108"/>
      <c r="T14" s="109"/>
      <c r="U14" s="110">
        <f t="shared" si="7"/>
        <v>1</v>
      </c>
      <c r="V14" s="111"/>
      <c r="W14" s="112"/>
      <c r="X14" s="113"/>
    </row>
    <row r="15" spans="1:24" s="114" customFormat="1" ht="18" customHeight="1">
      <c r="A15" s="115">
        <v>6</v>
      </c>
      <c r="B15" s="122" t="str">
        <f>'Apoio Cronograma'!B10</f>
        <v>ESQUADRIAS E DIVISÓRIAS</v>
      </c>
      <c r="C15" s="99">
        <f>'Apoio Cronograma'!Q10</f>
        <v>21164.61</v>
      </c>
      <c r="D15" s="100">
        <f t="shared" si="5"/>
        <v>0.21877567095284686</v>
      </c>
      <c r="E15" s="99">
        <f t="shared" si="0"/>
        <v>5291.1525000000001</v>
      </c>
      <c r="F15" s="99">
        <f t="shared" si="1"/>
        <v>26455.762500000001</v>
      </c>
      <c r="G15" s="117">
        <v>0</v>
      </c>
      <c r="H15" s="102">
        <f t="shared" si="2"/>
        <v>0</v>
      </c>
      <c r="I15" s="118">
        <v>1</v>
      </c>
      <c r="J15" s="119">
        <f t="shared" si="3"/>
        <v>26455.762500000001</v>
      </c>
      <c r="K15" s="118"/>
      <c r="L15" s="102">
        <f t="shared" si="6"/>
        <v>0</v>
      </c>
      <c r="M15" s="120"/>
      <c r="N15" s="104">
        <f t="shared" si="4"/>
        <v>0</v>
      </c>
      <c r="O15" s="105"/>
      <c r="P15" s="106"/>
      <c r="Q15" s="107"/>
      <c r="R15" s="106"/>
      <c r="S15" s="108"/>
      <c r="T15" s="109"/>
      <c r="U15" s="110">
        <f t="shared" si="7"/>
        <v>1</v>
      </c>
      <c r="V15" s="111"/>
      <c r="W15" s="112"/>
      <c r="X15" s="113"/>
    </row>
    <row r="16" spans="1:24" s="114" customFormat="1" ht="23.25" customHeight="1">
      <c r="A16" s="115">
        <v>7</v>
      </c>
      <c r="B16" s="123" t="str">
        <f>'Apoio Cronograma'!B11</f>
        <v>RECUPERAÇÃO GRADE FERRO</v>
      </c>
      <c r="C16" s="99">
        <f>'Apoio Cronograma'!Q11</f>
        <v>72.72</v>
      </c>
      <c r="D16" s="100">
        <f t="shared" si="5"/>
        <v>7.5169666682688813E-4</v>
      </c>
      <c r="E16" s="99">
        <f t="shared" si="0"/>
        <v>18.18</v>
      </c>
      <c r="F16" s="99">
        <f t="shared" si="1"/>
        <v>90.9</v>
      </c>
      <c r="G16" s="117">
        <v>1</v>
      </c>
      <c r="H16" s="102">
        <f t="shared" si="2"/>
        <v>90.9</v>
      </c>
      <c r="I16" s="118"/>
      <c r="J16" s="119">
        <f t="shared" si="3"/>
        <v>0</v>
      </c>
      <c r="K16" s="118"/>
      <c r="L16" s="102">
        <f t="shared" si="6"/>
        <v>0</v>
      </c>
      <c r="M16" s="120"/>
      <c r="N16" s="104">
        <f t="shared" si="4"/>
        <v>0</v>
      </c>
      <c r="O16" s="105"/>
      <c r="P16" s="106"/>
      <c r="Q16" s="107"/>
      <c r="R16" s="106"/>
      <c r="S16" s="108"/>
      <c r="T16" s="109"/>
      <c r="U16" s="110">
        <f t="shared" si="7"/>
        <v>1</v>
      </c>
      <c r="V16" s="111"/>
      <c r="W16" s="112"/>
      <c r="X16" s="113"/>
    </row>
    <row r="17" spans="1:24" s="114" customFormat="1" ht="23.25" customHeight="1">
      <c r="A17" s="97">
        <v>8</v>
      </c>
      <c r="B17" s="123" t="str">
        <f>'Apoio Cronograma'!B12</f>
        <v>REVESTIMENTO</v>
      </c>
      <c r="C17" s="99">
        <f>'Apoio Cronograma'!Q12</f>
        <v>4622.25</v>
      </c>
      <c r="D17" s="100">
        <f t="shared" si="5"/>
        <v>4.7779564332241245E-2</v>
      </c>
      <c r="E17" s="99">
        <f t="shared" si="0"/>
        <v>1155.5625</v>
      </c>
      <c r="F17" s="99">
        <f t="shared" si="1"/>
        <v>5777.8125</v>
      </c>
      <c r="G17" s="117">
        <v>0.4</v>
      </c>
      <c r="H17" s="102">
        <f t="shared" si="2"/>
        <v>2311.125</v>
      </c>
      <c r="I17" s="118">
        <v>0.6</v>
      </c>
      <c r="J17" s="119">
        <f t="shared" si="3"/>
        <v>3466.6875</v>
      </c>
      <c r="K17" s="118"/>
      <c r="L17" s="102">
        <f t="shared" si="6"/>
        <v>0</v>
      </c>
      <c r="M17" s="120"/>
      <c r="N17" s="104">
        <f t="shared" si="4"/>
        <v>0</v>
      </c>
      <c r="O17" s="105"/>
      <c r="P17" s="106"/>
      <c r="Q17" s="107"/>
      <c r="R17" s="106"/>
      <c r="S17" s="108"/>
      <c r="T17" s="109"/>
      <c r="U17" s="110">
        <f t="shared" si="7"/>
        <v>1</v>
      </c>
      <c r="V17" s="111"/>
      <c r="W17" s="112"/>
      <c r="X17" s="113"/>
    </row>
    <row r="18" spans="1:24" s="114" customFormat="1" ht="18" customHeight="1">
      <c r="A18" s="115">
        <v>9</v>
      </c>
      <c r="B18" s="122" t="str">
        <f>'Apoio Cronograma'!B13</f>
        <v>CONCRETO E PAVIMENTAÇÃO</v>
      </c>
      <c r="C18" s="99">
        <f>'Apoio Cronograma'!Q13</f>
        <v>352.07</v>
      </c>
      <c r="D18" s="100">
        <f t="shared" si="5"/>
        <v>3.6392993054145005E-3</v>
      </c>
      <c r="E18" s="99">
        <f t="shared" si="0"/>
        <v>88.017499999999998</v>
      </c>
      <c r="F18" s="99">
        <f t="shared" si="1"/>
        <v>440.08749999999998</v>
      </c>
      <c r="G18" s="117">
        <v>1</v>
      </c>
      <c r="H18" s="102">
        <f t="shared" si="2"/>
        <v>440.08749999999998</v>
      </c>
      <c r="I18" s="118"/>
      <c r="J18" s="119">
        <f t="shared" si="3"/>
        <v>0</v>
      </c>
      <c r="K18" s="118"/>
      <c r="L18" s="102">
        <f t="shared" si="6"/>
        <v>0</v>
      </c>
      <c r="M18" s="120"/>
      <c r="N18" s="104">
        <f t="shared" si="4"/>
        <v>0</v>
      </c>
      <c r="O18" s="105"/>
      <c r="P18" s="106"/>
      <c r="Q18" s="107"/>
      <c r="R18" s="106"/>
      <c r="S18" s="108"/>
      <c r="T18" s="109"/>
      <c r="U18" s="110">
        <f t="shared" si="7"/>
        <v>1</v>
      </c>
      <c r="V18" s="111"/>
      <c r="W18" s="112"/>
      <c r="X18" s="113"/>
    </row>
    <row r="19" spans="1:24" s="114" customFormat="1" ht="18" customHeight="1">
      <c r="A19" s="115">
        <v>10</v>
      </c>
      <c r="B19" s="122" t="str">
        <f>'Apoio Cronograma'!B14</f>
        <v>PINTURA</v>
      </c>
      <c r="C19" s="99">
        <f>'Apoio Cronograma'!Q14</f>
        <v>9361.8799999999992</v>
      </c>
      <c r="D19" s="100">
        <f t="shared" si="5"/>
        <v>9.6772469626420596E-2</v>
      </c>
      <c r="E19" s="99">
        <f t="shared" si="0"/>
        <v>2340.4699999999998</v>
      </c>
      <c r="F19" s="99">
        <f t="shared" si="1"/>
        <v>11702.349999999999</v>
      </c>
      <c r="G19" s="117"/>
      <c r="H19" s="102">
        <f t="shared" si="2"/>
        <v>0</v>
      </c>
      <c r="I19" s="118">
        <v>1</v>
      </c>
      <c r="J19" s="119">
        <f t="shared" si="3"/>
        <v>11702.349999999999</v>
      </c>
      <c r="K19" s="118"/>
      <c r="L19" s="102">
        <f t="shared" si="6"/>
        <v>0</v>
      </c>
      <c r="M19" s="120"/>
      <c r="N19" s="124">
        <f t="shared" si="4"/>
        <v>0</v>
      </c>
      <c r="O19" s="105"/>
      <c r="P19" s="106"/>
      <c r="Q19" s="107"/>
      <c r="R19" s="106"/>
      <c r="S19" s="108"/>
      <c r="T19" s="109"/>
      <c r="U19" s="110">
        <f t="shared" si="7"/>
        <v>1</v>
      </c>
      <c r="V19" s="111"/>
      <c r="W19" s="112"/>
      <c r="X19" s="113"/>
    </row>
    <row r="20" spans="1:24" s="114" customFormat="1" ht="18" customHeight="1">
      <c r="A20" s="97">
        <v>11</v>
      </c>
      <c r="B20" s="122" t="str">
        <f>'Apoio Cronograma'!B15</f>
        <v>INST. HIDROSSANITÁRIAS</v>
      </c>
      <c r="C20" s="501">
        <f>'Apoio Cronograma'!Q15</f>
        <v>544.45000000000005</v>
      </c>
      <c r="D20" s="100">
        <f t="shared" si="5"/>
        <v>5.6279049814892627E-3</v>
      </c>
      <c r="E20" s="99">
        <f t="shared" si="0"/>
        <v>136.11250000000001</v>
      </c>
      <c r="F20" s="99">
        <f t="shared" si="1"/>
        <v>680.5625</v>
      </c>
      <c r="G20" s="117">
        <v>1</v>
      </c>
      <c r="H20" s="102">
        <f t="shared" si="2"/>
        <v>680.5625</v>
      </c>
      <c r="I20" s="118"/>
      <c r="J20" s="119">
        <f t="shared" si="3"/>
        <v>0</v>
      </c>
      <c r="K20" s="118"/>
      <c r="L20" s="119"/>
      <c r="M20" s="120"/>
      <c r="N20" s="119"/>
      <c r="O20" s="105"/>
      <c r="P20" s="106"/>
      <c r="Q20" s="107"/>
      <c r="R20" s="106"/>
      <c r="S20" s="108"/>
      <c r="T20" s="109"/>
      <c r="U20" s="110">
        <f t="shared" si="7"/>
        <v>1</v>
      </c>
      <c r="V20" s="111"/>
      <c r="W20" s="112"/>
      <c r="X20" s="113"/>
    </row>
    <row r="21" spans="1:24" s="114" customFormat="1" ht="18" customHeight="1">
      <c r="A21" s="115">
        <v>12</v>
      </c>
      <c r="B21" s="122" t="str">
        <f>'Apoio Cronograma'!B16</f>
        <v>LOUÇAS E METAIS SANITÁRIOS</v>
      </c>
      <c r="C21" s="501">
        <f>'Apoio Cronograma'!Q16</f>
        <v>940.53</v>
      </c>
      <c r="D21" s="100">
        <f t="shared" si="5"/>
        <v>9.7221296211591444E-3</v>
      </c>
      <c r="E21" s="99">
        <f t="shared" si="0"/>
        <v>235.13249999999999</v>
      </c>
      <c r="F21" s="99">
        <f t="shared" si="1"/>
        <v>1175.6624999999999</v>
      </c>
      <c r="G21" s="117"/>
      <c r="H21" s="102">
        <f t="shared" si="2"/>
        <v>0</v>
      </c>
      <c r="I21" s="118">
        <v>1</v>
      </c>
      <c r="J21" s="119">
        <f t="shared" si="3"/>
        <v>1175.6624999999999</v>
      </c>
      <c r="K21" s="118"/>
      <c r="L21" s="119"/>
      <c r="M21" s="120"/>
      <c r="N21" s="119"/>
      <c r="O21" s="105"/>
      <c r="P21" s="106"/>
      <c r="Q21" s="107"/>
      <c r="R21" s="106"/>
      <c r="S21" s="108"/>
      <c r="T21" s="109"/>
      <c r="U21" s="110">
        <f t="shared" si="7"/>
        <v>1</v>
      </c>
      <c r="V21" s="111"/>
      <c r="W21" s="112"/>
      <c r="X21" s="113"/>
    </row>
    <row r="22" spans="1:24" s="114" customFormat="1" ht="18" customHeight="1">
      <c r="A22" s="115">
        <v>13</v>
      </c>
      <c r="B22" s="122" t="str">
        <f>'Apoio Cronograma'!B17</f>
        <v>INST. ELÉTRICAS</v>
      </c>
      <c r="C22" s="501">
        <f>'Apoio Cronograma'!Q17</f>
        <v>5472.38</v>
      </c>
      <c r="D22" s="100">
        <f t="shared" si="5"/>
        <v>5.6567241551294362E-2</v>
      </c>
      <c r="E22" s="99">
        <f t="shared" si="0"/>
        <v>1368.095</v>
      </c>
      <c r="F22" s="99">
        <f t="shared" si="1"/>
        <v>6840.4750000000004</v>
      </c>
      <c r="G22" s="117">
        <v>1</v>
      </c>
      <c r="H22" s="102">
        <f t="shared" si="2"/>
        <v>6840.4750000000004</v>
      </c>
      <c r="I22" s="118"/>
      <c r="J22" s="119">
        <f t="shared" si="3"/>
        <v>0</v>
      </c>
      <c r="K22" s="118"/>
      <c r="L22" s="119"/>
      <c r="M22" s="120"/>
      <c r="N22" s="119"/>
      <c r="O22" s="105"/>
      <c r="P22" s="106"/>
      <c r="Q22" s="107"/>
      <c r="R22" s="106"/>
      <c r="S22" s="108"/>
      <c r="T22" s="109"/>
      <c r="U22" s="110">
        <f t="shared" si="7"/>
        <v>1</v>
      </c>
      <c r="V22" s="111"/>
      <c r="W22" s="112"/>
      <c r="X22" s="113"/>
    </row>
    <row r="23" spans="1:24" s="114" customFormat="1" ht="18" customHeight="1">
      <c r="A23" s="115">
        <v>14</v>
      </c>
      <c r="B23" s="122" t="s">
        <v>452</v>
      </c>
      <c r="C23" s="501">
        <f>'Apoio Cronograma'!Q18</f>
        <v>2424.9700000000003</v>
      </c>
      <c r="D23" s="100">
        <f t="shared" si="5"/>
        <v>2.5066582317865772E-2</v>
      </c>
      <c r="E23" s="99">
        <f t="shared" si="0"/>
        <v>606.24250000000006</v>
      </c>
      <c r="F23" s="99">
        <f t="shared" si="1"/>
        <v>3031.2125000000005</v>
      </c>
      <c r="G23" s="117">
        <v>1</v>
      </c>
      <c r="H23" s="102">
        <f t="shared" si="2"/>
        <v>3031.2125000000005</v>
      </c>
      <c r="I23" s="118"/>
      <c r="J23" s="119"/>
      <c r="K23" s="118"/>
      <c r="L23" s="119"/>
      <c r="M23" s="120"/>
      <c r="N23" s="119"/>
      <c r="O23" s="105"/>
      <c r="P23" s="106"/>
      <c r="Q23" s="107"/>
      <c r="R23" s="106"/>
      <c r="S23" s="108"/>
      <c r="T23" s="109"/>
      <c r="U23" s="110">
        <f t="shared" si="7"/>
        <v>1</v>
      </c>
      <c r="V23" s="111"/>
      <c r="W23" s="112"/>
      <c r="X23" s="113"/>
    </row>
    <row r="24" spans="1:24" s="114" customFormat="1" ht="18" customHeight="1">
      <c r="A24" s="115">
        <v>15</v>
      </c>
      <c r="B24" s="122" t="s">
        <v>449</v>
      </c>
      <c r="C24" s="501">
        <f>'Apoio Cronograma'!Q19</f>
        <v>605.1400000000001</v>
      </c>
      <c r="D24" s="100">
        <f t="shared" si="5"/>
        <v>6.2552491881686352E-3</v>
      </c>
      <c r="E24" s="99">
        <f t="shared" si="0"/>
        <v>151.28500000000003</v>
      </c>
      <c r="F24" s="99">
        <f t="shared" si="1"/>
        <v>756.42500000000018</v>
      </c>
      <c r="G24" s="117">
        <v>1</v>
      </c>
      <c r="H24" s="102">
        <f t="shared" si="2"/>
        <v>756.42500000000018</v>
      </c>
      <c r="I24" s="118"/>
      <c r="J24" s="119"/>
      <c r="K24" s="118"/>
      <c r="L24" s="119"/>
      <c r="M24" s="120"/>
      <c r="N24" s="119"/>
      <c r="O24" s="105"/>
      <c r="P24" s="106"/>
      <c r="Q24" s="107"/>
      <c r="R24" s="106"/>
      <c r="S24" s="108"/>
      <c r="T24" s="109"/>
      <c r="U24" s="110"/>
      <c r="V24" s="111"/>
      <c r="W24" s="112"/>
      <c r="X24" s="113"/>
    </row>
    <row r="25" spans="1:24" s="114" customFormat="1" ht="18" customHeight="1">
      <c r="A25" s="115">
        <v>16</v>
      </c>
      <c r="B25" s="122" t="s">
        <v>568</v>
      </c>
      <c r="C25" s="501">
        <f>'Apoio Cronograma'!Q20</f>
        <v>52.28</v>
      </c>
      <c r="D25" s="100">
        <f t="shared" si="5"/>
        <v>5.4041119006751519E-4</v>
      </c>
      <c r="E25" s="99">
        <f t="shared" si="0"/>
        <v>13.07</v>
      </c>
      <c r="F25" s="99">
        <f t="shared" si="1"/>
        <v>65.349999999999994</v>
      </c>
      <c r="G25" s="117">
        <v>1</v>
      </c>
      <c r="H25" s="102">
        <f t="shared" si="2"/>
        <v>65.349999999999994</v>
      </c>
      <c r="I25" s="118"/>
      <c r="J25" s="119"/>
      <c r="K25" s="118"/>
      <c r="L25" s="119"/>
      <c r="M25" s="120"/>
      <c r="N25" s="119"/>
      <c r="O25" s="105"/>
      <c r="P25" s="106"/>
      <c r="Q25" s="107"/>
      <c r="R25" s="106"/>
      <c r="S25" s="108"/>
      <c r="T25" s="109"/>
      <c r="U25" s="110"/>
      <c r="V25" s="111"/>
      <c r="W25" s="112"/>
      <c r="X25" s="113"/>
    </row>
    <row r="26" spans="1:24" s="114" customFormat="1" ht="18" customHeight="1" thickBot="1">
      <c r="A26" s="115">
        <v>17</v>
      </c>
      <c r="B26" s="122" t="str">
        <f>'Apoio Cronograma'!B25</f>
        <v>SERVIÇOS FINAIS E DESMOBILIZAÇÃO</v>
      </c>
      <c r="C26" s="501">
        <f>'Apoio Cronograma'!C25</f>
        <v>1571.9</v>
      </c>
      <c r="D26" s="100">
        <f t="shared" si="5"/>
        <v>1.6248514722018499E-2</v>
      </c>
      <c r="E26" s="99">
        <f t="shared" si="0"/>
        <v>392.97500000000002</v>
      </c>
      <c r="F26" s="99">
        <f t="shared" si="1"/>
        <v>1964.875</v>
      </c>
      <c r="G26" s="117"/>
      <c r="H26" s="102">
        <f t="shared" si="2"/>
        <v>0</v>
      </c>
      <c r="I26" s="118">
        <v>1</v>
      </c>
      <c r="J26" s="119">
        <f t="shared" si="3"/>
        <v>1964.875</v>
      </c>
      <c r="K26" s="118"/>
      <c r="L26" s="119"/>
      <c r="M26" s="120"/>
      <c r="N26" s="119"/>
      <c r="O26" s="105"/>
      <c r="P26" s="106"/>
      <c r="Q26" s="107"/>
      <c r="R26" s="106"/>
      <c r="S26" s="108"/>
      <c r="T26" s="109"/>
      <c r="U26" s="110">
        <f t="shared" si="7"/>
        <v>1</v>
      </c>
      <c r="V26" s="111"/>
      <c r="W26" s="112"/>
      <c r="X26" s="113"/>
    </row>
    <row r="27" spans="1:24" s="114" customFormat="1" ht="18" customHeight="1" thickBot="1">
      <c r="A27" s="466"/>
      <c r="B27" s="467" t="s">
        <v>118</v>
      </c>
      <c r="C27" s="468">
        <f>SUM(C11:C26)</f>
        <v>69284.969999999987</v>
      </c>
      <c r="D27" s="469">
        <f>SUM(D11:D26)</f>
        <v>0.71618923281354419</v>
      </c>
      <c r="E27" s="468">
        <f>SUM(E11:E26)</f>
        <v>17321.242499999997</v>
      </c>
      <c r="F27" s="468">
        <f>SUM(F11:F26)</f>
        <v>86606.212500000009</v>
      </c>
      <c r="G27" s="470">
        <f>H27/F27</f>
        <v>0.36653456009290325</v>
      </c>
      <c r="H27" s="468">
        <f>SUM(H11:H26)</f>
        <v>31744.170000000002</v>
      </c>
      <c r="I27" s="470">
        <f>J27/$F$27</f>
        <v>0.63346543990709658</v>
      </c>
      <c r="J27" s="468">
        <f>SUM(J11:J26)</f>
        <v>54862.042499999996</v>
      </c>
      <c r="K27" s="470"/>
      <c r="L27" s="468"/>
      <c r="M27" s="470"/>
      <c r="N27" s="468"/>
      <c r="O27" s="105"/>
      <c r="P27" s="106"/>
      <c r="Q27" s="107"/>
      <c r="R27" s="106"/>
      <c r="S27" s="108"/>
      <c r="T27" s="109"/>
      <c r="U27" s="110">
        <f t="shared" si="7"/>
        <v>0.99999999999999978</v>
      </c>
      <c r="V27" s="111"/>
      <c r="W27" s="112"/>
      <c r="X27" s="113"/>
    </row>
    <row r="28" spans="1:24" s="114" customFormat="1" ht="12" customHeight="1" thickBot="1">
      <c r="A28" s="125"/>
      <c r="B28" s="126"/>
      <c r="C28" s="127"/>
      <c r="D28" s="128"/>
      <c r="E28" s="129"/>
      <c r="F28" s="129"/>
      <c r="G28" s="130"/>
      <c r="H28" s="131"/>
      <c r="I28" s="130"/>
      <c r="J28" s="131"/>
      <c r="K28" s="131"/>
      <c r="L28" s="131"/>
      <c r="M28" s="130"/>
      <c r="N28" s="132"/>
      <c r="O28" s="105"/>
      <c r="P28" s="106"/>
      <c r="Q28" s="107"/>
      <c r="R28" s="106"/>
      <c r="S28" s="108"/>
      <c r="T28" s="109"/>
      <c r="U28" s="110">
        <f t="shared" si="7"/>
        <v>0</v>
      </c>
      <c r="V28" s="111"/>
      <c r="W28" s="112"/>
      <c r="X28" s="113"/>
    </row>
    <row r="29" spans="1:24" s="114" customFormat="1" ht="14.1" customHeight="1">
      <c r="A29" s="669" t="s">
        <v>20</v>
      </c>
      <c r="B29" s="671" t="s">
        <v>110</v>
      </c>
      <c r="C29" s="691" t="s">
        <v>111</v>
      </c>
      <c r="D29" s="675" t="s">
        <v>112</v>
      </c>
      <c r="E29" s="691" t="s">
        <v>113</v>
      </c>
      <c r="F29" s="666" t="s">
        <v>119</v>
      </c>
      <c r="G29" s="668" t="str">
        <f>G9</f>
        <v>30 Dias</v>
      </c>
      <c r="H29" s="668"/>
      <c r="I29" s="668" t="str">
        <f>I9</f>
        <v>60 Dias</v>
      </c>
      <c r="J29" s="668"/>
      <c r="K29" s="668"/>
      <c r="L29" s="668"/>
      <c r="M29" s="668"/>
      <c r="N29" s="690"/>
      <c r="O29" s="105"/>
      <c r="P29" s="106"/>
      <c r="Q29" s="107"/>
      <c r="R29" s="106"/>
      <c r="S29" s="108"/>
      <c r="T29" s="109"/>
      <c r="U29" s="110"/>
      <c r="V29" s="111"/>
      <c r="W29" s="112"/>
      <c r="X29" s="113"/>
    </row>
    <row r="30" spans="1:24" s="114" customFormat="1" ht="14.1" customHeight="1" thickBot="1">
      <c r="A30" s="670"/>
      <c r="B30" s="672"/>
      <c r="C30" s="692"/>
      <c r="D30" s="676"/>
      <c r="E30" s="692"/>
      <c r="F30" s="667"/>
      <c r="G30" s="463" t="s">
        <v>112</v>
      </c>
      <c r="H30" s="463" t="s">
        <v>117</v>
      </c>
      <c r="I30" s="463" t="s">
        <v>112</v>
      </c>
      <c r="J30" s="463" t="s">
        <v>117</v>
      </c>
      <c r="K30" s="463"/>
      <c r="L30" s="463"/>
      <c r="M30" s="464"/>
      <c r="N30" s="465"/>
      <c r="O30" s="105"/>
      <c r="P30" s="106"/>
      <c r="Q30" s="107"/>
      <c r="R30" s="106"/>
      <c r="S30" s="108"/>
      <c r="T30" s="109"/>
      <c r="U30" s="110"/>
      <c r="V30" s="111"/>
      <c r="W30" s="112"/>
      <c r="X30" s="112"/>
    </row>
    <row r="31" spans="1:24" s="114" customFormat="1" ht="18" customHeight="1">
      <c r="A31" s="97">
        <v>1</v>
      </c>
      <c r="B31" s="133" t="str">
        <f>[4]SERVIÇOS!C18</f>
        <v xml:space="preserve">ADMINISTRAÇÃO LOCAL </v>
      </c>
      <c r="C31" s="134">
        <f>'Estimativa LABMETRO e USIMEC'!G10</f>
        <v>27456.180000000004</v>
      </c>
      <c r="D31" s="135">
        <f>F31/G7</f>
        <v>0.28381076718645587</v>
      </c>
      <c r="E31" s="136">
        <f>C31*$U$7</f>
        <v>6864.045000000001</v>
      </c>
      <c r="F31" s="136">
        <f>E31+C31</f>
        <v>34320.225000000006</v>
      </c>
      <c r="G31" s="135">
        <f>G27</f>
        <v>0.36653456009290325</v>
      </c>
      <c r="H31" s="102">
        <f>G31*$F$31</f>
        <v>12579.548572664462</v>
      </c>
      <c r="I31" s="135">
        <f>I27</f>
        <v>0.63346543990709658</v>
      </c>
      <c r="J31" s="102">
        <f>I31*$F$31</f>
        <v>21740.676427335537</v>
      </c>
      <c r="K31" s="135"/>
      <c r="L31" s="102"/>
      <c r="M31" s="135"/>
      <c r="N31" s="104"/>
      <c r="O31" s="105"/>
      <c r="P31" s="106"/>
      <c r="Q31" s="107"/>
      <c r="R31" s="106"/>
      <c r="S31" s="108"/>
      <c r="T31" s="109"/>
      <c r="U31" s="110">
        <f t="shared" si="7"/>
        <v>0.99999999999999978</v>
      </c>
      <c r="V31" s="111"/>
      <c r="W31" s="112"/>
      <c r="X31" s="113"/>
    </row>
    <row r="32" spans="1:24" s="114" customFormat="1" ht="12" customHeight="1" thickBot="1">
      <c r="A32" s="137"/>
      <c r="B32" s="138"/>
      <c r="C32" s="139"/>
      <c r="D32" s="140"/>
      <c r="E32" s="141"/>
      <c r="F32" s="141"/>
      <c r="G32" s="142"/>
      <c r="H32" s="143"/>
      <c r="I32" s="142"/>
      <c r="J32" s="143"/>
      <c r="K32" s="143"/>
      <c r="L32" s="143"/>
      <c r="M32" s="142"/>
      <c r="N32" s="144"/>
      <c r="O32" s="105"/>
      <c r="P32" s="106"/>
      <c r="Q32" s="107"/>
      <c r="R32" s="106"/>
      <c r="S32" s="108"/>
      <c r="T32" s="109"/>
      <c r="U32" s="110">
        <f t="shared" si="7"/>
        <v>0</v>
      </c>
      <c r="V32" s="111"/>
      <c r="W32" s="112"/>
      <c r="X32" s="113"/>
    </row>
    <row r="33" spans="1:24" s="114" customFormat="1" ht="18" customHeight="1" thickBot="1">
      <c r="A33" s="466"/>
      <c r="B33" s="467" t="s">
        <v>120</v>
      </c>
      <c r="C33" s="468">
        <f>C31</f>
        <v>27456.180000000004</v>
      </c>
      <c r="D33" s="469">
        <f>D31</f>
        <v>0.28381076718645587</v>
      </c>
      <c r="E33" s="468">
        <f>E31</f>
        <v>6864.045000000001</v>
      </c>
      <c r="F33" s="468">
        <f>E33+C33</f>
        <v>34320.225000000006</v>
      </c>
      <c r="G33" s="470">
        <f>H33/$F$33</f>
        <v>0.36653456009290325</v>
      </c>
      <c r="H33" s="468">
        <f>H31</f>
        <v>12579.548572664462</v>
      </c>
      <c r="I33" s="470">
        <f>I31</f>
        <v>0.63346543990709658</v>
      </c>
      <c r="J33" s="468">
        <f>J31</f>
        <v>21740.676427335537</v>
      </c>
      <c r="K33" s="470"/>
      <c r="L33" s="468"/>
      <c r="M33" s="470"/>
      <c r="N33" s="468"/>
      <c r="O33" s="105"/>
      <c r="P33" s="106"/>
      <c r="Q33" s="107"/>
      <c r="R33" s="106"/>
      <c r="S33" s="108"/>
      <c r="T33" s="109"/>
      <c r="U33" s="110">
        <f t="shared" si="7"/>
        <v>0.99999999999999978</v>
      </c>
      <c r="V33" s="111"/>
      <c r="W33" s="112"/>
      <c r="X33" s="113"/>
    </row>
    <row r="34" spans="1:24" s="114" customFormat="1" ht="12" customHeight="1" thickBot="1">
      <c r="A34" s="125"/>
      <c r="B34" s="126"/>
      <c r="C34" s="127"/>
      <c r="D34" s="128"/>
      <c r="E34" s="129"/>
      <c r="F34" s="129"/>
      <c r="G34" s="130"/>
      <c r="H34" s="131"/>
      <c r="I34" s="130"/>
      <c r="J34" s="131"/>
      <c r="K34" s="131"/>
      <c r="L34" s="131"/>
      <c r="M34" s="130"/>
      <c r="N34" s="132"/>
      <c r="O34" s="105"/>
      <c r="P34" s="106"/>
      <c r="Q34" s="107"/>
      <c r="R34" s="106"/>
      <c r="S34" s="108"/>
      <c r="T34" s="109"/>
      <c r="U34" s="110">
        <f t="shared" si="7"/>
        <v>0</v>
      </c>
      <c r="V34" s="111"/>
      <c r="W34" s="112"/>
      <c r="X34" s="113"/>
    </row>
    <row r="35" spans="1:24" s="149" customFormat="1" ht="20.25" thickBot="1">
      <c r="A35" s="471"/>
      <c r="B35" s="472" t="s">
        <v>121</v>
      </c>
      <c r="C35" s="468">
        <f>C33+C27</f>
        <v>96741.15</v>
      </c>
      <c r="D35" s="473">
        <f>D27+D33</f>
        <v>1</v>
      </c>
      <c r="E35" s="474">
        <f>E33+E27</f>
        <v>24185.287499999999</v>
      </c>
      <c r="F35" s="475">
        <f>F33+F27</f>
        <v>120926.43750000001</v>
      </c>
      <c r="G35" s="476">
        <f>H35/F35</f>
        <v>0.36653456009290325</v>
      </c>
      <c r="H35" s="477">
        <f>H33+H27</f>
        <v>44323.718572664468</v>
      </c>
      <c r="I35" s="476">
        <f>J35/F35</f>
        <v>0.63346543990709658</v>
      </c>
      <c r="J35" s="477">
        <f>J33+J27</f>
        <v>76602.718927335532</v>
      </c>
      <c r="K35" s="476"/>
      <c r="L35" s="477"/>
      <c r="M35" s="476"/>
      <c r="N35" s="478"/>
      <c r="O35" s="145"/>
      <c r="P35" s="146"/>
      <c r="Q35" s="147"/>
      <c r="R35" s="146"/>
      <c r="S35" s="148"/>
      <c r="T35" s="109"/>
      <c r="U35" s="110">
        <f t="shared" si="7"/>
        <v>0.99999999999999978</v>
      </c>
      <c r="V35" s="111"/>
      <c r="W35" s="112"/>
      <c r="X35" s="113"/>
    </row>
    <row r="36" spans="1:24" s="114" customFormat="1" ht="24.95" customHeight="1" thickBot="1">
      <c r="A36" s="479"/>
      <c r="B36" s="472" t="s">
        <v>122</v>
      </c>
      <c r="C36" s="480"/>
      <c r="D36" s="480"/>
      <c r="E36" s="481"/>
      <c r="F36" s="482"/>
      <c r="G36" s="483">
        <f>G35</f>
        <v>0.36653456009290325</v>
      </c>
      <c r="H36" s="477">
        <f>H35</f>
        <v>44323.718572664468</v>
      </c>
      <c r="I36" s="483">
        <f>G36+I35</f>
        <v>0.99999999999999978</v>
      </c>
      <c r="J36" s="477">
        <f>H36+J35</f>
        <v>120926.4375</v>
      </c>
      <c r="K36" s="483"/>
      <c r="L36" s="477"/>
      <c r="M36" s="483"/>
      <c r="N36" s="478"/>
      <c r="O36" s="150"/>
      <c r="P36" s="151"/>
      <c r="Q36" s="152"/>
      <c r="R36" s="151"/>
      <c r="S36" s="153"/>
      <c r="T36" s="154"/>
      <c r="U36" s="110"/>
      <c r="V36" s="155">
        <f>N36-G7</f>
        <v>-120926.4375</v>
      </c>
      <c r="W36" s="112"/>
      <c r="X36" s="113"/>
    </row>
    <row r="37" spans="1:24" s="114" customFormat="1" ht="15">
      <c r="A37" s="484"/>
      <c r="B37" s="485"/>
      <c r="C37" s="486"/>
      <c r="D37" s="486"/>
      <c r="E37" s="487"/>
      <c r="F37" s="488"/>
      <c r="G37" s="485"/>
      <c r="H37" s="489"/>
      <c r="I37" s="489"/>
      <c r="J37" s="489"/>
      <c r="K37" s="489"/>
      <c r="L37" s="489"/>
      <c r="M37" s="490"/>
      <c r="N37" s="491"/>
      <c r="O37" s="80"/>
      <c r="P37" s="80"/>
      <c r="Q37" s="80"/>
      <c r="R37" s="80"/>
      <c r="S37" s="82"/>
      <c r="U37" s="110">
        <f>G37+I37+M37</f>
        <v>0</v>
      </c>
      <c r="V37" s="111"/>
      <c r="W37" s="112"/>
      <c r="X37" s="113"/>
    </row>
    <row r="38" spans="1:24" ht="13.5">
      <c r="A38" s="156"/>
      <c r="B38" s="157"/>
      <c r="C38" s="158"/>
      <c r="D38" s="158"/>
      <c r="E38" s="159"/>
      <c r="F38" s="160"/>
      <c r="G38" s="157"/>
      <c r="H38" s="157"/>
      <c r="I38" s="157"/>
      <c r="J38" s="157"/>
      <c r="K38" s="157"/>
      <c r="L38" s="157"/>
      <c r="M38" s="161"/>
      <c r="N38" s="162"/>
    </row>
    <row r="39" spans="1:24" ht="13.5">
      <c r="A39" s="156"/>
      <c r="B39" s="157"/>
      <c r="C39" s="158"/>
      <c r="D39" s="158"/>
      <c r="E39" s="159"/>
      <c r="F39" s="160"/>
      <c r="G39" s="157"/>
      <c r="H39" s="157"/>
      <c r="I39" s="157"/>
      <c r="J39" s="157"/>
      <c r="K39" s="157"/>
      <c r="L39" s="157"/>
      <c r="M39" s="161"/>
      <c r="N39" s="162"/>
    </row>
    <row r="40" spans="1:24" ht="13.5">
      <c r="A40" s="156"/>
      <c r="B40" s="157"/>
      <c r="C40" s="158"/>
      <c r="D40" s="158"/>
      <c r="E40" s="159"/>
      <c r="F40" s="160"/>
      <c r="G40" s="157"/>
      <c r="H40" s="163"/>
      <c r="I40" s="163"/>
      <c r="J40" s="163"/>
      <c r="K40" s="163"/>
      <c r="L40" s="163"/>
      <c r="M40" s="164"/>
      <c r="N40" s="165"/>
    </row>
    <row r="41" spans="1:24" ht="13.5">
      <c r="A41" s="156"/>
      <c r="B41" s="157"/>
      <c r="C41" s="158"/>
      <c r="D41" s="158"/>
      <c r="E41" s="159"/>
      <c r="F41" s="160"/>
      <c r="G41" s="157"/>
      <c r="H41" s="163"/>
      <c r="I41" s="163"/>
      <c r="J41" s="163"/>
      <c r="K41" s="163"/>
      <c r="L41" s="163"/>
      <c r="M41" s="164"/>
      <c r="N41" s="165"/>
    </row>
    <row r="42" spans="1:24" ht="13.5">
      <c r="A42" s="156"/>
      <c r="B42" s="157"/>
      <c r="C42" s="158"/>
      <c r="D42" s="158"/>
      <c r="E42" s="159"/>
      <c r="F42" s="160"/>
      <c r="G42" s="157"/>
      <c r="H42" s="163"/>
      <c r="I42" s="163"/>
      <c r="J42" s="163"/>
      <c r="K42" s="163"/>
      <c r="L42" s="163"/>
      <c r="M42" s="164"/>
      <c r="N42" s="165"/>
    </row>
    <row r="43" spans="1:24" ht="13.5">
      <c r="A43" s="156"/>
      <c r="B43" s="157"/>
      <c r="C43" s="158"/>
      <c r="D43" s="158"/>
      <c r="E43" s="159"/>
      <c r="F43" s="160"/>
      <c r="G43" s="157"/>
      <c r="H43" s="163"/>
      <c r="I43" s="163"/>
      <c r="J43" s="163"/>
      <c r="K43" s="163"/>
      <c r="L43" s="163"/>
      <c r="M43" s="164"/>
      <c r="N43" s="165"/>
    </row>
    <row r="44" spans="1:24" ht="13.5">
      <c r="A44" s="156"/>
      <c r="B44" s="157"/>
      <c r="C44" s="158"/>
      <c r="D44" s="158"/>
      <c r="E44" s="159"/>
      <c r="F44" s="166"/>
      <c r="G44" s="157"/>
      <c r="H44" s="163"/>
      <c r="I44" s="163"/>
      <c r="J44" s="167"/>
      <c r="K44" s="167"/>
      <c r="L44" s="167"/>
      <c r="M44" s="164"/>
      <c r="N44" s="168"/>
    </row>
    <row r="45" spans="1:24" ht="13.5">
      <c r="A45" s="156"/>
      <c r="B45" s="157"/>
      <c r="C45" s="158"/>
      <c r="D45" s="158"/>
      <c r="E45" s="159"/>
      <c r="F45" s="160"/>
      <c r="G45" s="157"/>
      <c r="H45" s="167"/>
      <c r="I45" s="163"/>
      <c r="J45" s="163"/>
      <c r="K45" s="163"/>
      <c r="L45" s="163"/>
      <c r="M45" s="164"/>
      <c r="N45" s="165"/>
    </row>
    <row r="46" spans="1:24" ht="13.5">
      <c r="A46" s="156"/>
      <c r="B46" s="157"/>
      <c r="C46" s="158"/>
      <c r="D46" s="158"/>
      <c r="E46" s="159"/>
      <c r="F46" s="160"/>
      <c r="G46" s="157"/>
      <c r="H46" s="157"/>
      <c r="I46" s="157"/>
      <c r="J46" s="157"/>
      <c r="K46" s="157"/>
      <c r="L46" s="157"/>
      <c r="M46" s="161"/>
      <c r="N46" s="162"/>
    </row>
    <row r="47" spans="1:24" ht="13.5">
      <c r="A47" s="156"/>
      <c r="B47" s="157"/>
      <c r="C47" s="158"/>
      <c r="D47" s="158"/>
      <c r="E47" s="159"/>
      <c r="F47" s="160"/>
      <c r="G47" s="157"/>
      <c r="H47" s="157"/>
      <c r="I47" s="157"/>
      <c r="J47" s="157"/>
      <c r="K47" s="157"/>
      <c r="L47" s="157"/>
      <c r="M47" s="161"/>
      <c r="N47" s="162"/>
    </row>
    <row r="48" spans="1:24" ht="13.5">
      <c r="A48" s="156"/>
      <c r="B48" s="157"/>
      <c r="C48" s="158"/>
      <c r="D48" s="158"/>
      <c r="E48" s="159"/>
      <c r="F48" s="160"/>
      <c r="G48" s="157"/>
      <c r="H48" s="157"/>
      <c r="I48" s="157"/>
      <c r="J48" s="157"/>
      <c r="K48" s="157"/>
      <c r="L48" s="157"/>
      <c r="M48" s="161"/>
      <c r="N48" s="162"/>
    </row>
    <row r="49" spans="1:14" ht="13.5">
      <c r="A49" s="156"/>
      <c r="B49" s="157"/>
      <c r="C49" s="158"/>
      <c r="D49" s="158"/>
      <c r="E49" s="159"/>
      <c r="F49" s="160"/>
      <c r="G49" s="157"/>
      <c r="H49" s="157"/>
      <c r="I49" s="157"/>
      <c r="J49" s="157"/>
      <c r="K49" s="157"/>
      <c r="L49" s="157"/>
      <c r="M49" s="161"/>
      <c r="N49" s="162"/>
    </row>
    <row r="50" spans="1:14" ht="13.5">
      <c r="A50" s="156"/>
      <c r="B50" s="157"/>
      <c r="C50" s="158"/>
      <c r="D50" s="158"/>
      <c r="E50" s="159"/>
      <c r="F50" s="160"/>
      <c r="G50" s="157"/>
      <c r="H50" s="157"/>
      <c r="I50" s="157"/>
      <c r="J50" s="157"/>
      <c r="K50" s="157"/>
      <c r="L50" s="157"/>
      <c r="M50" s="161"/>
      <c r="N50" s="162"/>
    </row>
    <row r="51" spans="1:14" ht="13.5">
      <c r="A51" s="156"/>
      <c r="B51" s="157"/>
      <c r="C51" s="158"/>
      <c r="D51" s="158"/>
      <c r="E51" s="159"/>
      <c r="F51" s="160"/>
      <c r="G51" s="157"/>
      <c r="H51" s="157"/>
      <c r="I51" s="157"/>
      <c r="J51" s="157"/>
      <c r="K51" s="157"/>
      <c r="L51" s="157"/>
      <c r="M51" s="161"/>
      <c r="N51" s="162"/>
    </row>
    <row r="52" spans="1:14" ht="13.5">
      <c r="A52" s="156"/>
      <c r="B52" s="157"/>
      <c r="C52" s="158"/>
      <c r="D52" s="158"/>
      <c r="E52" s="159"/>
      <c r="F52" s="160"/>
      <c r="G52" s="157"/>
      <c r="H52" s="157"/>
      <c r="I52" s="157"/>
      <c r="J52" s="157"/>
      <c r="K52" s="157"/>
      <c r="L52" s="157"/>
      <c r="M52" s="161"/>
      <c r="N52" s="162"/>
    </row>
    <row r="53" spans="1:14" ht="13.5">
      <c r="A53" s="156"/>
      <c r="B53" s="157"/>
      <c r="C53" s="158"/>
      <c r="D53" s="158"/>
      <c r="E53" s="159"/>
      <c r="F53" s="160"/>
      <c r="G53" s="157"/>
      <c r="H53" s="157"/>
      <c r="I53" s="157"/>
      <c r="J53" s="157"/>
      <c r="K53" s="157"/>
      <c r="L53" s="157"/>
      <c r="M53" s="161"/>
      <c r="N53" s="162"/>
    </row>
    <row r="54" spans="1:14" ht="13.5">
      <c r="A54" s="156"/>
      <c r="B54" s="157"/>
      <c r="C54" s="158"/>
      <c r="D54" s="158"/>
      <c r="E54" s="159"/>
      <c r="F54" s="160"/>
      <c r="G54" s="157"/>
      <c r="H54" s="157"/>
      <c r="I54" s="157"/>
      <c r="J54" s="157"/>
      <c r="K54" s="157"/>
      <c r="L54" s="157"/>
      <c r="M54" s="161"/>
      <c r="N54" s="162"/>
    </row>
    <row r="55" spans="1:14" ht="13.5">
      <c r="A55" s="156"/>
      <c r="B55" s="157"/>
      <c r="C55" s="158"/>
      <c r="D55" s="158"/>
      <c r="E55" s="159"/>
      <c r="F55" s="160"/>
      <c r="G55" s="157"/>
      <c r="H55" s="157"/>
      <c r="I55" s="157"/>
      <c r="J55" s="157"/>
      <c r="K55" s="157"/>
      <c r="L55" s="157"/>
      <c r="M55" s="161"/>
      <c r="N55" s="162"/>
    </row>
    <row r="56" spans="1:14" ht="13.5">
      <c r="A56" s="156"/>
      <c r="B56" s="157"/>
      <c r="C56" s="158"/>
      <c r="D56" s="158"/>
      <c r="E56" s="159"/>
      <c r="F56" s="160"/>
      <c r="G56" s="157"/>
      <c r="H56" s="157"/>
      <c r="I56" s="157"/>
      <c r="J56" s="157"/>
      <c r="K56" s="157"/>
      <c r="L56" s="157"/>
      <c r="M56" s="161"/>
      <c r="N56" s="162"/>
    </row>
    <row r="57" spans="1:14" ht="13.5">
      <c r="A57" s="156"/>
      <c r="B57" s="157"/>
      <c r="C57" s="158"/>
      <c r="D57" s="158"/>
      <c r="E57" s="159"/>
      <c r="F57" s="160"/>
      <c r="G57" s="157"/>
      <c r="H57" s="157"/>
      <c r="I57" s="157"/>
      <c r="J57" s="157"/>
      <c r="K57" s="157"/>
      <c r="L57" s="157"/>
      <c r="M57" s="161"/>
      <c r="N57" s="162"/>
    </row>
    <row r="58" spans="1:14" ht="13.5">
      <c r="A58" s="156"/>
      <c r="B58" s="157"/>
      <c r="C58" s="158"/>
      <c r="D58" s="158"/>
      <c r="E58" s="159"/>
      <c r="F58" s="160"/>
      <c r="G58" s="157"/>
      <c r="H58" s="157"/>
      <c r="I58" s="157"/>
      <c r="J58" s="157"/>
      <c r="K58" s="157"/>
      <c r="L58" s="157"/>
      <c r="M58" s="161"/>
      <c r="N58" s="162"/>
    </row>
    <row r="59" spans="1:14" ht="13.5">
      <c r="A59" s="156"/>
      <c r="B59" s="157"/>
      <c r="C59" s="158"/>
      <c r="D59" s="158"/>
      <c r="E59" s="159"/>
      <c r="F59" s="160"/>
      <c r="G59" s="157"/>
      <c r="H59" s="157"/>
      <c r="I59" s="157"/>
      <c r="J59" s="157"/>
      <c r="K59" s="157"/>
      <c r="L59" s="157"/>
      <c r="M59" s="161"/>
      <c r="N59" s="162"/>
    </row>
    <row r="60" spans="1:14" ht="13.5">
      <c r="A60" s="176"/>
      <c r="B60" s="177"/>
      <c r="C60" s="178"/>
      <c r="D60" s="178"/>
      <c r="E60" s="179"/>
      <c r="F60" s="180"/>
      <c r="G60" s="177"/>
      <c r="H60" s="177"/>
      <c r="I60" s="177"/>
      <c r="J60" s="177"/>
      <c r="K60" s="177"/>
      <c r="L60" s="177"/>
      <c r="M60" s="181"/>
      <c r="N60" s="177"/>
    </row>
    <row r="61" spans="1:14" ht="14.25" thickBot="1">
      <c r="A61" s="176"/>
      <c r="B61" s="177"/>
      <c r="C61" s="178"/>
      <c r="D61" s="178"/>
      <c r="E61" s="179"/>
      <c r="F61" s="180"/>
      <c r="G61" s="177"/>
      <c r="H61" s="177"/>
      <c r="I61" s="177"/>
      <c r="J61" s="177"/>
      <c r="K61" s="177"/>
      <c r="L61" s="177"/>
      <c r="M61" s="181"/>
      <c r="N61" s="177"/>
    </row>
    <row r="62" spans="1:14" ht="30">
      <c r="A62" s="612" t="s">
        <v>13</v>
      </c>
      <c r="B62" s="613"/>
      <c r="C62" s="613"/>
      <c r="D62" s="613"/>
      <c r="E62" s="613"/>
      <c r="F62" s="71"/>
      <c r="G62" s="72"/>
      <c r="H62" s="73"/>
      <c r="I62" s="73"/>
      <c r="J62" s="73"/>
      <c r="K62" s="73"/>
      <c r="L62" s="73"/>
      <c r="M62" s="74"/>
      <c r="N62" s="75"/>
    </row>
    <row r="63" spans="1:14" ht="25.5">
      <c r="A63" s="684" t="str">
        <f>A2</f>
        <v xml:space="preserve">SUPERINTENDÊNCIA DE MEIO AMBIENTE E INFRAESTRUTURA   </v>
      </c>
      <c r="B63" s="685"/>
      <c r="C63" s="685"/>
      <c r="D63" s="685"/>
      <c r="E63" s="685"/>
      <c r="F63" s="78"/>
      <c r="G63" s="79"/>
      <c r="H63" s="80"/>
      <c r="I63" s="80"/>
      <c r="J63" s="80"/>
      <c r="K63" s="80"/>
      <c r="L63" s="80"/>
      <c r="M63" s="81"/>
      <c r="N63" s="82"/>
    </row>
    <row r="64" spans="1:14" ht="23.25">
      <c r="A64" s="651" t="str">
        <f>A3</f>
        <v>COORDENAÇÃO DE ORÇAMENTO E PLANEJAMENTO</v>
      </c>
      <c r="B64" s="652"/>
      <c r="C64" s="652"/>
      <c r="D64" s="652"/>
      <c r="E64" s="652"/>
      <c r="F64" s="78"/>
      <c r="G64" s="79"/>
      <c r="H64" s="80"/>
      <c r="I64" s="80"/>
      <c r="J64" s="80"/>
      <c r="K64" s="80"/>
      <c r="L64" s="80"/>
      <c r="M64" s="81"/>
      <c r="N64" s="82"/>
    </row>
    <row r="65" spans="1:14" ht="20.25">
      <c r="A65" s="83" t="s">
        <v>16</v>
      </c>
      <c r="B65" s="84"/>
      <c r="C65" s="85"/>
      <c r="D65" s="86"/>
      <c r="E65" s="679" t="s">
        <v>17</v>
      </c>
      <c r="F65" s="679"/>
      <c r="G65" s="79"/>
      <c r="H65" s="80"/>
      <c r="I65" s="80"/>
      <c r="J65" s="80"/>
      <c r="K65" s="80"/>
      <c r="L65" s="80"/>
      <c r="M65" s="81"/>
      <c r="N65" s="82"/>
    </row>
    <row r="66" spans="1:14" ht="20.25">
      <c r="A66" s="182" t="str">
        <f>A5</f>
        <v>REFORMA DO LABMETRO E USIMEC - ESCOLA POLITÉCNICA - UFBA</v>
      </c>
      <c r="B66" s="183"/>
      <c r="C66" s="183"/>
      <c r="D66" s="183"/>
      <c r="E66" s="681" t="str">
        <f>E5</f>
        <v>JANEIRO/2022</v>
      </c>
      <c r="F66" s="681"/>
      <c r="G66" s="79"/>
      <c r="H66" s="80"/>
      <c r="I66" s="80"/>
      <c r="J66" s="80"/>
      <c r="K66" s="80"/>
      <c r="L66" s="80"/>
      <c r="M66" s="81"/>
      <c r="N66" s="82"/>
    </row>
    <row r="67" spans="1:14" ht="15.75" customHeight="1">
      <c r="A67" s="682" t="s">
        <v>18</v>
      </c>
      <c r="B67" s="683"/>
      <c r="C67" s="85"/>
      <c r="D67" s="87"/>
      <c r="E67" s="679" t="s">
        <v>106</v>
      </c>
      <c r="F67" s="679"/>
      <c r="G67" s="679" t="s">
        <v>107</v>
      </c>
      <c r="H67" s="679"/>
      <c r="I67" s="679" t="s">
        <v>108</v>
      </c>
      <c r="J67" s="679"/>
      <c r="K67" s="184"/>
      <c r="L67" s="184"/>
      <c r="M67" s="81"/>
      <c r="N67" s="82"/>
    </row>
    <row r="68" spans="1:14" ht="21" thickBot="1">
      <c r="A68" s="182" t="str">
        <f>A7</f>
        <v>Campus Universitário da Federação, Salvador, Bahia</v>
      </c>
      <c r="B68" s="183"/>
      <c r="C68" s="185"/>
      <c r="D68" s="186"/>
      <c r="E68" s="680">
        <f>E7</f>
        <v>399.52</v>
      </c>
      <c r="F68" s="680"/>
      <c r="G68" s="680">
        <f>G7</f>
        <v>120926.4375</v>
      </c>
      <c r="H68" s="680"/>
      <c r="I68" s="661">
        <f>G68/E68</f>
        <v>302.67930892070484</v>
      </c>
      <c r="J68" s="661"/>
      <c r="K68" s="187"/>
      <c r="L68" s="187"/>
      <c r="M68" s="81"/>
      <c r="N68" s="82"/>
    </row>
    <row r="69" spans="1:14" ht="14.25" thickBot="1">
      <c r="A69" s="188"/>
      <c r="B69" s="189"/>
      <c r="C69" s="190"/>
      <c r="D69" s="190"/>
      <c r="E69" s="191"/>
      <c r="F69" s="192"/>
      <c r="G69" s="189"/>
      <c r="H69" s="189"/>
      <c r="I69" s="189"/>
      <c r="J69" s="189"/>
      <c r="K69" s="189"/>
      <c r="L69" s="189"/>
      <c r="M69" s="193"/>
      <c r="N69" s="194"/>
    </row>
    <row r="70" spans="1:14" ht="13.5">
      <c r="A70" s="195"/>
      <c r="B70" s="196"/>
      <c r="C70" s="197"/>
      <c r="D70" s="197"/>
      <c r="E70" s="198"/>
      <c r="F70" s="199"/>
      <c r="G70" s="196"/>
      <c r="H70" s="196"/>
      <c r="I70" s="196"/>
      <c r="J70" s="196"/>
      <c r="K70" s="196"/>
      <c r="L70" s="196"/>
      <c r="M70" s="200"/>
      <c r="N70" s="201"/>
    </row>
    <row r="71" spans="1:14" ht="13.5">
      <c r="A71" s="156"/>
      <c r="B71" s="157"/>
      <c r="C71" s="158"/>
      <c r="D71" s="158"/>
      <c r="E71" s="159"/>
      <c r="F71" s="160"/>
      <c r="G71" s="157"/>
      <c r="H71" s="157"/>
      <c r="I71" s="157"/>
      <c r="J71" s="157"/>
      <c r="K71" s="157"/>
      <c r="L71" s="157"/>
      <c r="M71" s="161"/>
      <c r="N71" s="162"/>
    </row>
    <row r="72" spans="1:14" ht="13.5">
      <c r="A72" s="156"/>
      <c r="B72" s="157"/>
      <c r="C72" s="158"/>
      <c r="D72" s="158"/>
      <c r="E72" s="159"/>
      <c r="F72" s="160"/>
      <c r="G72" s="157"/>
      <c r="H72" s="157"/>
      <c r="I72" s="157"/>
      <c r="J72" s="157"/>
      <c r="K72" s="157"/>
      <c r="L72" s="157"/>
      <c r="M72" s="161"/>
      <c r="N72" s="162"/>
    </row>
    <row r="73" spans="1:14" ht="13.5">
      <c r="A73" s="156"/>
      <c r="B73" s="157"/>
      <c r="C73" s="158"/>
      <c r="D73" s="158"/>
      <c r="E73" s="159"/>
      <c r="F73" s="160"/>
      <c r="G73" s="157"/>
      <c r="H73" s="157"/>
      <c r="I73" s="157"/>
      <c r="J73" s="157"/>
      <c r="K73" s="157"/>
      <c r="L73" s="157"/>
      <c r="M73" s="161"/>
      <c r="N73" s="162"/>
    </row>
    <row r="74" spans="1:14" ht="13.5">
      <c r="A74" s="156"/>
      <c r="B74" s="157"/>
      <c r="C74" s="158"/>
      <c r="D74" s="158"/>
      <c r="E74" s="159"/>
      <c r="F74" s="160"/>
      <c r="G74" s="157"/>
      <c r="H74" s="157"/>
      <c r="I74" s="157"/>
      <c r="J74" s="157"/>
      <c r="K74" s="157"/>
      <c r="L74" s="157"/>
      <c r="M74" s="161"/>
      <c r="N74" s="162"/>
    </row>
    <row r="75" spans="1:14" ht="13.5">
      <c r="A75" s="156"/>
      <c r="B75" s="157"/>
      <c r="C75" s="158"/>
      <c r="D75" s="158"/>
      <c r="E75" s="159"/>
      <c r="F75" s="160"/>
      <c r="G75" s="157"/>
      <c r="H75" s="157"/>
      <c r="I75" s="157"/>
      <c r="J75" s="157"/>
      <c r="K75" s="157"/>
      <c r="L75" s="157"/>
      <c r="M75" s="161"/>
      <c r="N75" s="162"/>
    </row>
    <row r="76" spans="1:14" ht="13.5">
      <c r="A76" s="156"/>
      <c r="B76" s="157"/>
      <c r="C76" s="158"/>
      <c r="D76" s="158"/>
      <c r="E76" s="159"/>
      <c r="F76" s="160"/>
      <c r="G76" s="157"/>
      <c r="H76" s="157"/>
      <c r="I76" s="157"/>
      <c r="J76" s="157"/>
      <c r="K76" s="157"/>
      <c r="L76" s="157"/>
      <c r="M76" s="161"/>
      <c r="N76" s="162"/>
    </row>
    <row r="77" spans="1:14" ht="13.5">
      <c r="A77" s="156"/>
      <c r="B77" s="157"/>
      <c r="C77" s="158"/>
      <c r="D77" s="158"/>
      <c r="E77" s="159"/>
      <c r="F77" s="160"/>
      <c r="G77" s="157"/>
      <c r="H77" s="157"/>
      <c r="I77" s="157"/>
      <c r="J77" s="157"/>
      <c r="K77" s="157"/>
      <c r="L77" s="157"/>
      <c r="M77" s="161"/>
      <c r="N77" s="162"/>
    </row>
    <row r="78" spans="1:14" ht="13.5">
      <c r="A78" s="156"/>
      <c r="B78" s="157"/>
      <c r="C78" s="158"/>
      <c r="D78" s="158"/>
      <c r="E78" s="159"/>
      <c r="F78" s="160"/>
      <c r="G78" s="157"/>
      <c r="H78" s="157"/>
      <c r="I78" s="157"/>
      <c r="J78" s="157"/>
      <c r="K78" s="157"/>
      <c r="L78" s="157"/>
      <c r="M78" s="161"/>
      <c r="N78" s="162"/>
    </row>
    <row r="79" spans="1:14" ht="13.5">
      <c r="A79" s="156"/>
      <c r="B79" s="157"/>
      <c r="C79" s="158"/>
      <c r="D79" s="158"/>
      <c r="E79" s="159"/>
      <c r="F79" s="160"/>
      <c r="G79" s="157"/>
      <c r="H79" s="157"/>
      <c r="I79" s="157"/>
      <c r="J79" s="157"/>
      <c r="K79" s="157"/>
      <c r="L79" s="157"/>
      <c r="M79" s="161"/>
      <c r="N79" s="162"/>
    </row>
    <row r="80" spans="1:14" ht="13.5">
      <c r="A80" s="156"/>
      <c r="B80" s="157"/>
      <c r="C80" s="158"/>
      <c r="D80" s="158"/>
      <c r="E80" s="159"/>
      <c r="F80" s="160"/>
      <c r="G80" s="157"/>
      <c r="H80" s="157"/>
      <c r="I80" s="157"/>
      <c r="J80" s="157"/>
      <c r="K80" s="157"/>
      <c r="L80" s="157"/>
      <c r="M80" s="161"/>
      <c r="N80" s="162"/>
    </row>
    <row r="81" spans="1:14" ht="13.5">
      <c r="A81" s="156"/>
      <c r="B81" s="157"/>
      <c r="C81" s="158"/>
      <c r="D81" s="158"/>
      <c r="E81" s="159"/>
      <c r="F81" s="160"/>
      <c r="G81" s="157"/>
      <c r="H81" s="157"/>
      <c r="I81" s="157"/>
      <c r="J81" s="157"/>
      <c r="K81" s="157"/>
      <c r="L81" s="157"/>
      <c r="M81" s="161"/>
      <c r="N81" s="162"/>
    </row>
    <row r="82" spans="1:14" ht="13.5">
      <c r="A82" s="156"/>
      <c r="B82" s="157"/>
      <c r="C82" s="158"/>
      <c r="D82" s="158"/>
      <c r="E82" s="159"/>
      <c r="F82" s="160"/>
      <c r="G82" s="157"/>
      <c r="H82" s="157"/>
      <c r="I82" s="157"/>
      <c r="J82" s="157"/>
      <c r="K82" s="157"/>
      <c r="L82" s="157"/>
      <c r="M82" s="161"/>
      <c r="N82" s="162"/>
    </row>
    <row r="83" spans="1:14" ht="13.5">
      <c r="A83" s="156"/>
      <c r="B83" s="157"/>
      <c r="C83" s="158"/>
      <c r="D83" s="158"/>
      <c r="E83" s="159"/>
      <c r="F83" s="160"/>
      <c r="G83" s="157"/>
      <c r="H83" s="157"/>
      <c r="I83" s="157"/>
      <c r="J83" s="157"/>
      <c r="K83" s="157"/>
      <c r="L83" s="157"/>
      <c r="M83" s="161"/>
      <c r="N83" s="162"/>
    </row>
    <row r="84" spans="1:14" ht="13.5">
      <c r="A84" s="156"/>
      <c r="B84" s="157"/>
      <c r="C84" s="158"/>
      <c r="D84" s="158"/>
      <c r="E84" s="159"/>
      <c r="F84" s="160"/>
      <c r="G84" s="157"/>
      <c r="H84" s="157"/>
      <c r="I84" s="157"/>
      <c r="J84" s="157"/>
      <c r="K84" s="157"/>
      <c r="L84" s="157"/>
      <c r="M84" s="161"/>
      <c r="N84" s="162"/>
    </row>
    <row r="85" spans="1:14" ht="13.5">
      <c r="A85" s="156"/>
      <c r="B85" s="157"/>
      <c r="C85" s="158"/>
      <c r="D85" s="158"/>
      <c r="E85" s="159"/>
      <c r="F85" s="160"/>
      <c r="G85" s="157"/>
      <c r="H85" s="157"/>
      <c r="I85" s="157"/>
      <c r="J85" s="157"/>
      <c r="K85" s="157"/>
      <c r="L85" s="157"/>
      <c r="M85" s="161"/>
      <c r="N85" s="162"/>
    </row>
    <row r="86" spans="1:14" ht="13.5">
      <c r="A86" s="156"/>
      <c r="B86" s="157"/>
      <c r="C86" s="158"/>
      <c r="D86" s="158"/>
      <c r="E86" s="159"/>
      <c r="F86" s="160"/>
      <c r="G86" s="157"/>
      <c r="H86" s="157"/>
      <c r="I86" s="157"/>
      <c r="J86" s="157"/>
      <c r="K86" s="157"/>
      <c r="L86" s="157"/>
      <c r="M86" s="161"/>
      <c r="N86" s="162"/>
    </row>
    <row r="87" spans="1:14" ht="13.5">
      <c r="A87" s="156"/>
      <c r="B87" s="157"/>
      <c r="C87" s="158"/>
      <c r="D87" s="158"/>
      <c r="E87" s="159"/>
      <c r="F87" s="160"/>
      <c r="G87" s="157"/>
      <c r="H87" s="157"/>
      <c r="I87" s="157"/>
      <c r="J87" s="157"/>
      <c r="K87" s="157"/>
      <c r="L87" s="157"/>
      <c r="M87" s="161"/>
      <c r="N87" s="162"/>
    </row>
    <row r="88" spans="1:14" ht="13.5">
      <c r="A88" s="156"/>
      <c r="B88" s="157"/>
      <c r="C88" s="158"/>
      <c r="D88" s="158"/>
      <c r="E88" s="159"/>
      <c r="F88" s="160"/>
      <c r="G88" s="157"/>
      <c r="H88" s="157"/>
      <c r="I88" s="157"/>
      <c r="J88" s="157"/>
      <c r="K88" s="157"/>
      <c r="L88" s="157"/>
      <c r="M88" s="161"/>
      <c r="N88" s="162"/>
    </row>
    <row r="89" spans="1:14" ht="13.5">
      <c r="A89" s="156"/>
      <c r="B89" s="157"/>
      <c r="C89" s="158"/>
      <c r="D89" s="158"/>
      <c r="E89" s="159"/>
      <c r="F89" s="160"/>
      <c r="G89" s="157"/>
      <c r="H89" s="157"/>
      <c r="I89" s="157"/>
      <c r="J89" s="157"/>
      <c r="K89" s="157"/>
      <c r="L89" s="157"/>
      <c r="M89" s="161"/>
      <c r="N89" s="162"/>
    </row>
    <row r="90" spans="1:14" ht="13.5">
      <c r="A90" s="156"/>
      <c r="B90" s="157"/>
      <c r="C90" s="158"/>
      <c r="D90" s="158"/>
      <c r="E90" s="159"/>
      <c r="F90" s="160"/>
      <c r="G90" s="157"/>
      <c r="H90" s="157"/>
      <c r="I90" s="157"/>
      <c r="J90" s="157"/>
      <c r="K90" s="157"/>
      <c r="L90" s="157"/>
      <c r="M90" s="161"/>
      <c r="N90" s="162"/>
    </row>
    <row r="91" spans="1:14" ht="13.5">
      <c r="A91" s="156"/>
      <c r="B91" s="157"/>
      <c r="C91" s="158"/>
      <c r="D91" s="158"/>
      <c r="E91" s="159"/>
      <c r="F91" s="160"/>
      <c r="G91" s="157"/>
      <c r="H91" s="157"/>
      <c r="I91" s="157"/>
      <c r="J91" s="157"/>
      <c r="K91" s="157"/>
      <c r="L91" s="157"/>
      <c r="M91" s="161"/>
      <c r="N91" s="162"/>
    </row>
    <row r="92" spans="1:14" ht="13.5">
      <c r="A92" s="156"/>
      <c r="B92" s="157"/>
      <c r="C92" s="158"/>
      <c r="D92" s="158"/>
      <c r="E92" s="159"/>
      <c r="F92" s="160"/>
      <c r="G92" s="157"/>
      <c r="H92" s="157"/>
      <c r="I92" s="157"/>
      <c r="J92" s="157"/>
      <c r="K92" s="157"/>
      <c r="L92" s="157"/>
      <c r="M92" s="161"/>
      <c r="N92" s="162"/>
    </row>
    <row r="93" spans="1:14" ht="13.5">
      <c r="A93" s="156"/>
      <c r="B93" s="157"/>
      <c r="C93" s="158"/>
      <c r="D93" s="158"/>
      <c r="E93" s="159"/>
      <c r="F93" s="160"/>
      <c r="G93" s="157"/>
      <c r="H93" s="157"/>
      <c r="I93" s="157"/>
      <c r="J93" s="157"/>
      <c r="K93" s="157"/>
      <c r="L93" s="157"/>
      <c r="M93" s="161"/>
      <c r="N93" s="162"/>
    </row>
    <row r="94" spans="1:14" ht="13.5">
      <c r="A94" s="156"/>
      <c r="B94" s="157"/>
      <c r="C94" s="158"/>
      <c r="D94" s="158"/>
      <c r="E94" s="159"/>
      <c r="F94" s="160"/>
      <c r="G94" s="157"/>
      <c r="H94" s="157"/>
      <c r="I94" s="157"/>
      <c r="J94" s="157"/>
      <c r="K94" s="157"/>
      <c r="L94" s="157"/>
      <c r="M94" s="161"/>
      <c r="N94" s="162"/>
    </row>
    <row r="95" spans="1:14" ht="13.5">
      <c r="A95" s="156"/>
      <c r="B95" s="157"/>
      <c r="C95" s="158"/>
      <c r="D95" s="158"/>
      <c r="E95" s="159"/>
      <c r="F95" s="160"/>
      <c r="G95" s="157"/>
      <c r="H95" s="157"/>
      <c r="I95" s="157"/>
      <c r="J95" s="157"/>
      <c r="K95" s="157"/>
      <c r="L95" s="157"/>
      <c r="M95" s="161"/>
      <c r="N95" s="162"/>
    </row>
    <row r="96" spans="1:14" ht="13.5">
      <c r="A96" s="156"/>
      <c r="B96" s="157"/>
      <c r="C96" s="158"/>
      <c r="D96" s="158"/>
      <c r="E96" s="159"/>
      <c r="F96" s="160"/>
      <c r="G96" s="157"/>
      <c r="H96" s="157"/>
      <c r="I96" s="157"/>
      <c r="J96" s="157"/>
      <c r="K96" s="157"/>
      <c r="L96" s="157"/>
      <c r="M96" s="161"/>
      <c r="N96" s="162"/>
    </row>
    <row r="97" spans="1:14" ht="13.5">
      <c r="A97" s="156"/>
      <c r="B97" s="157"/>
      <c r="C97" s="158"/>
      <c r="D97" s="158"/>
      <c r="E97" s="159"/>
      <c r="F97" s="160"/>
      <c r="G97" s="157"/>
      <c r="H97" s="157"/>
      <c r="I97" s="157"/>
      <c r="J97" s="157"/>
      <c r="K97" s="157"/>
      <c r="L97" s="157"/>
      <c r="M97" s="161"/>
      <c r="N97" s="162"/>
    </row>
    <row r="98" spans="1:14" ht="13.5">
      <c r="A98" s="156"/>
      <c r="B98" s="157"/>
      <c r="C98" s="158"/>
      <c r="D98" s="158"/>
      <c r="E98" s="159"/>
      <c r="F98" s="160"/>
      <c r="G98" s="157"/>
      <c r="H98" s="157"/>
      <c r="I98" s="157"/>
      <c r="J98" s="157"/>
      <c r="K98" s="157"/>
      <c r="L98" s="157"/>
      <c r="M98" s="161"/>
      <c r="N98" s="162"/>
    </row>
    <row r="99" spans="1:14" ht="13.5">
      <c r="A99" s="156"/>
      <c r="B99" s="157"/>
      <c r="C99" s="158"/>
      <c r="D99" s="158"/>
      <c r="E99" s="159"/>
      <c r="F99" s="160"/>
      <c r="G99" s="157"/>
      <c r="H99" s="157"/>
      <c r="I99" s="157"/>
      <c r="J99" s="157"/>
      <c r="K99" s="157"/>
      <c r="L99" s="157"/>
      <c r="M99" s="161"/>
      <c r="N99" s="162"/>
    </row>
    <row r="100" spans="1:14" ht="13.5">
      <c r="A100" s="156"/>
      <c r="B100" s="157"/>
      <c r="C100" s="158"/>
      <c r="D100" s="158"/>
      <c r="E100" s="159"/>
      <c r="F100" s="160"/>
      <c r="G100" s="157"/>
      <c r="H100" s="157"/>
      <c r="I100" s="157"/>
      <c r="J100" s="157"/>
      <c r="K100" s="157"/>
      <c r="L100" s="157"/>
      <c r="M100" s="161"/>
      <c r="N100" s="162"/>
    </row>
    <row r="101" spans="1:14" ht="13.5">
      <c r="A101" s="156"/>
      <c r="B101" s="157"/>
      <c r="C101" s="158"/>
      <c r="D101" s="158"/>
      <c r="E101" s="159"/>
      <c r="F101" s="160"/>
      <c r="G101" s="157"/>
      <c r="H101" s="157"/>
      <c r="I101" s="157"/>
      <c r="J101" s="157"/>
      <c r="K101" s="157"/>
      <c r="L101" s="157"/>
      <c r="M101" s="161"/>
      <c r="N101" s="162"/>
    </row>
    <row r="102" spans="1:14" ht="13.5">
      <c r="A102" s="156"/>
      <c r="B102" s="157"/>
      <c r="C102" s="158"/>
      <c r="D102" s="158"/>
      <c r="E102" s="159"/>
      <c r="F102" s="160"/>
      <c r="G102" s="157"/>
      <c r="H102" s="157"/>
      <c r="I102" s="157"/>
      <c r="J102" s="157"/>
      <c r="K102" s="157"/>
      <c r="L102" s="157"/>
      <c r="M102" s="161"/>
      <c r="N102" s="162"/>
    </row>
    <row r="103" spans="1:14" ht="13.5">
      <c r="A103" s="156"/>
      <c r="B103" s="157"/>
      <c r="C103" s="158"/>
      <c r="D103" s="158"/>
      <c r="E103" s="159"/>
      <c r="F103" s="160"/>
      <c r="G103" s="157"/>
      <c r="H103" s="157"/>
      <c r="I103" s="157"/>
      <c r="J103" s="157"/>
      <c r="K103" s="157"/>
      <c r="L103" s="157"/>
      <c r="M103" s="161"/>
      <c r="N103" s="162"/>
    </row>
    <row r="104" spans="1:14" ht="14.25" thickBot="1">
      <c r="A104" s="169"/>
      <c r="B104" s="170"/>
      <c r="C104" s="171"/>
      <c r="D104" s="171"/>
      <c r="E104" s="172"/>
      <c r="F104" s="173"/>
      <c r="G104" s="170"/>
      <c r="H104" s="170"/>
      <c r="I104" s="170"/>
      <c r="J104" s="170"/>
      <c r="K104" s="170"/>
      <c r="L104" s="170"/>
      <c r="M104" s="174"/>
      <c r="N104" s="175"/>
    </row>
    <row r="105" spans="1:14" ht="14.25" thickBot="1">
      <c r="A105" s="169"/>
      <c r="B105" s="170"/>
      <c r="C105" s="171"/>
      <c r="D105" s="171"/>
      <c r="E105" s="172"/>
      <c r="F105" s="173"/>
      <c r="G105" s="170"/>
      <c r="H105" s="170"/>
      <c r="I105" s="170"/>
      <c r="J105" s="170"/>
      <c r="K105" s="170"/>
      <c r="L105" s="170"/>
      <c r="M105" s="174"/>
      <c r="N105" s="175"/>
    </row>
    <row r="106" spans="1:14" ht="14.25" thickBot="1">
      <c r="A106" s="176"/>
      <c r="B106" s="177"/>
      <c r="C106" s="178"/>
      <c r="D106" s="178"/>
      <c r="E106" s="179"/>
      <c r="F106" s="180"/>
      <c r="G106" s="177"/>
      <c r="H106" s="177"/>
      <c r="I106" s="177"/>
      <c r="J106" s="177"/>
      <c r="K106" s="177"/>
      <c r="L106" s="177"/>
      <c r="M106" s="181"/>
      <c r="N106" s="177"/>
    </row>
    <row r="107" spans="1:14" ht="30">
      <c r="A107" s="612" t="s">
        <v>13</v>
      </c>
      <c r="B107" s="613"/>
      <c r="C107" s="613"/>
      <c r="D107" s="613"/>
      <c r="E107" s="613"/>
      <c r="F107" s="71"/>
      <c r="G107" s="72"/>
      <c r="H107" s="73"/>
      <c r="I107" s="73"/>
      <c r="J107" s="73"/>
      <c r="K107" s="73"/>
      <c r="L107" s="73"/>
      <c r="M107" s="74"/>
      <c r="N107" s="75"/>
    </row>
    <row r="108" spans="1:14" ht="25.5">
      <c r="A108" s="684" t="str">
        <f>A63</f>
        <v xml:space="preserve">SUPERINTENDÊNCIA DE MEIO AMBIENTE E INFRAESTRUTURA   </v>
      </c>
      <c r="B108" s="685"/>
      <c r="C108" s="685"/>
      <c r="D108" s="685"/>
      <c r="E108" s="685"/>
      <c r="F108" s="78"/>
      <c r="G108" s="79"/>
      <c r="H108" s="80"/>
      <c r="I108" s="80"/>
      <c r="J108" s="80"/>
      <c r="K108" s="80"/>
      <c r="L108" s="80"/>
      <c r="M108" s="81"/>
      <c r="N108" s="82"/>
    </row>
    <row r="109" spans="1:14" ht="23.25">
      <c r="A109" s="651" t="str">
        <f>A64</f>
        <v>COORDENAÇÃO DE ORÇAMENTO E PLANEJAMENTO</v>
      </c>
      <c r="B109" s="652"/>
      <c r="C109" s="652"/>
      <c r="D109" s="652"/>
      <c r="E109" s="652"/>
      <c r="F109" s="78"/>
      <c r="G109" s="79"/>
      <c r="H109" s="80"/>
      <c r="I109" s="80"/>
      <c r="J109" s="80"/>
      <c r="K109" s="80"/>
      <c r="L109" s="80"/>
      <c r="M109" s="81"/>
      <c r="N109" s="82"/>
    </row>
    <row r="110" spans="1:14" ht="20.25">
      <c r="A110" s="83" t="s">
        <v>16</v>
      </c>
      <c r="B110" s="84"/>
      <c r="C110" s="85"/>
      <c r="D110" s="86"/>
      <c r="E110" s="686" t="s">
        <v>17</v>
      </c>
      <c r="F110" s="686"/>
      <c r="G110" s="79"/>
      <c r="H110" s="80"/>
      <c r="I110" s="80"/>
      <c r="J110" s="80"/>
      <c r="K110" s="80"/>
      <c r="L110" s="80"/>
      <c r="M110" s="81"/>
      <c r="N110" s="82"/>
    </row>
    <row r="111" spans="1:14" ht="20.25">
      <c r="A111" s="182" t="str">
        <f>A66</f>
        <v>REFORMA DO LABMETRO E USIMEC - ESCOLA POLITÉCNICA - UFBA</v>
      </c>
      <c r="B111" s="202"/>
      <c r="C111" s="183"/>
      <c r="D111" s="183"/>
      <c r="E111" s="681" t="str">
        <f>E66</f>
        <v>JANEIRO/2022</v>
      </c>
      <c r="F111" s="681"/>
      <c r="G111" s="79"/>
      <c r="H111" s="80"/>
      <c r="I111" s="80"/>
      <c r="J111" s="80"/>
      <c r="K111" s="80"/>
      <c r="L111" s="80"/>
      <c r="M111" s="81"/>
      <c r="N111" s="82"/>
    </row>
    <row r="112" spans="1:14" ht="20.25">
      <c r="A112" s="658" t="s">
        <v>18</v>
      </c>
      <c r="B112" s="659"/>
      <c r="C112" s="85"/>
      <c r="D112" s="87"/>
      <c r="E112" s="656" t="s">
        <v>106</v>
      </c>
      <c r="F112" s="656"/>
      <c r="G112" s="679" t="s">
        <v>107</v>
      </c>
      <c r="H112" s="679"/>
      <c r="I112" s="679" t="s">
        <v>108</v>
      </c>
      <c r="J112" s="679"/>
      <c r="K112" s="184"/>
      <c r="L112" s="184"/>
      <c r="M112" s="81"/>
      <c r="N112" s="82"/>
    </row>
    <row r="113" spans="1:14" ht="21" thickBot="1">
      <c r="A113" s="182" t="str">
        <f>A68</f>
        <v>Campus Universitário da Federação, Salvador, Bahia</v>
      </c>
      <c r="B113" s="202"/>
      <c r="C113" s="185"/>
      <c r="D113" s="186"/>
      <c r="E113" s="680">
        <f>E68</f>
        <v>399.52</v>
      </c>
      <c r="F113" s="680"/>
      <c r="G113" s="680">
        <f>G68</f>
        <v>120926.4375</v>
      </c>
      <c r="H113" s="680"/>
      <c r="I113" s="661">
        <f>G113/E113</f>
        <v>302.67930892070484</v>
      </c>
      <c r="J113" s="661"/>
      <c r="K113" s="187"/>
      <c r="L113" s="187"/>
      <c r="M113" s="81"/>
      <c r="N113" s="82"/>
    </row>
    <row r="114" spans="1:14" ht="14.25" thickBot="1">
      <c r="A114" s="188"/>
      <c r="B114" s="189"/>
      <c r="C114" s="190"/>
      <c r="D114" s="190"/>
      <c r="E114" s="191"/>
      <c r="F114" s="192"/>
      <c r="G114" s="189"/>
      <c r="H114" s="189"/>
      <c r="I114" s="189"/>
      <c r="J114" s="189"/>
      <c r="K114" s="189"/>
      <c r="L114" s="189"/>
      <c r="M114" s="193"/>
      <c r="N114" s="194"/>
    </row>
    <row r="115" spans="1:14" ht="13.5">
      <c r="A115" s="195"/>
      <c r="B115" s="196"/>
      <c r="C115" s="197"/>
      <c r="D115" s="197"/>
      <c r="E115" s="198"/>
      <c r="F115" s="199"/>
      <c r="G115" s="196"/>
      <c r="H115" s="196"/>
      <c r="I115" s="196"/>
      <c r="J115" s="196"/>
      <c r="K115" s="196"/>
      <c r="L115" s="196"/>
      <c r="M115" s="200"/>
      <c r="N115" s="201"/>
    </row>
    <row r="116" spans="1:14" ht="13.5">
      <c r="A116" s="156"/>
      <c r="B116" s="157"/>
      <c r="C116" s="158"/>
      <c r="D116" s="158"/>
      <c r="E116" s="159"/>
      <c r="F116" s="160"/>
      <c r="G116" s="157"/>
      <c r="H116" s="157"/>
      <c r="I116" s="157"/>
      <c r="J116" s="157"/>
      <c r="K116" s="157"/>
      <c r="L116" s="157"/>
      <c r="M116" s="161"/>
      <c r="N116" s="162"/>
    </row>
    <row r="117" spans="1:14" ht="13.5">
      <c r="A117" s="156"/>
      <c r="B117" s="157"/>
      <c r="C117" s="158"/>
      <c r="D117" s="158"/>
      <c r="E117" s="159"/>
      <c r="F117" s="160"/>
      <c r="G117" s="157"/>
      <c r="H117" s="157"/>
      <c r="I117" s="157"/>
      <c r="J117" s="157"/>
      <c r="K117" s="157"/>
      <c r="L117" s="157"/>
      <c r="M117" s="161"/>
      <c r="N117" s="162"/>
    </row>
    <row r="118" spans="1:14" ht="13.5">
      <c r="A118" s="156"/>
      <c r="B118" s="157"/>
      <c r="C118" s="158"/>
      <c r="D118" s="158"/>
      <c r="E118" s="159"/>
      <c r="F118" s="160"/>
      <c r="G118" s="157"/>
      <c r="H118" s="157"/>
      <c r="I118" s="157"/>
      <c r="J118" s="157"/>
      <c r="K118" s="157"/>
      <c r="L118" s="157"/>
      <c r="M118" s="161"/>
      <c r="N118" s="162"/>
    </row>
    <row r="119" spans="1:14" ht="13.5">
      <c r="A119" s="156"/>
      <c r="B119" s="157"/>
      <c r="C119" s="158"/>
      <c r="D119" s="158"/>
      <c r="E119" s="159"/>
      <c r="F119" s="160"/>
      <c r="G119" s="157"/>
      <c r="H119" s="157"/>
      <c r="I119" s="157"/>
      <c r="J119" s="157"/>
      <c r="K119" s="157"/>
      <c r="L119" s="157"/>
      <c r="M119" s="161"/>
      <c r="N119" s="162"/>
    </row>
    <row r="120" spans="1:14" ht="13.5">
      <c r="A120" s="156"/>
      <c r="B120" s="157"/>
      <c r="C120" s="158"/>
      <c r="D120" s="158"/>
      <c r="E120" s="159"/>
      <c r="F120" s="160"/>
      <c r="G120" s="157"/>
      <c r="H120" s="157"/>
      <c r="I120" s="157"/>
      <c r="J120" s="157"/>
      <c r="K120" s="157"/>
      <c r="L120" s="157"/>
      <c r="M120" s="161"/>
      <c r="N120" s="162"/>
    </row>
    <row r="121" spans="1:14" ht="13.5">
      <c r="A121" s="156"/>
      <c r="B121" s="157"/>
      <c r="C121" s="158"/>
      <c r="D121" s="158"/>
      <c r="E121" s="159"/>
      <c r="F121" s="160"/>
      <c r="G121" s="157"/>
      <c r="H121" s="157"/>
      <c r="I121" s="157"/>
      <c r="J121" s="157"/>
      <c r="K121" s="157"/>
      <c r="L121" s="157"/>
      <c r="M121" s="161"/>
      <c r="N121" s="162"/>
    </row>
    <row r="122" spans="1:14" ht="13.5">
      <c r="A122" s="156"/>
      <c r="B122" s="157"/>
      <c r="C122" s="158"/>
      <c r="D122" s="158"/>
      <c r="E122" s="159"/>
      <c r="F122" s="160"/>
      <c r="G122" s="157"/>
      <c r="H122" s="157"/>
      <c r="I122" s="157"/>
      <c r="J122" s="157"/>
      <c r="K122" s="157"/>
      <c r="L122" s="157"/>
      <c r="M122" s="161"/>
      <c r="N122" s="162"/>
    </row>
    <row r="123" spans="1:14" ht="13.5">
      <c r="A123" s="156"/>
      <c r="B123" s="157"/>
      <c r="C123" s="158"/>
      <c r="D123" s="158"/>
      <c r="E123" s="159"/>
      <c r="F123" s="160"/>
      <c r="G123" s="157"/>
      <c r="H123" s="157"/>
      <c r="I123" s="157"/>
      <c r="J123" s="157"/>
      <c r="K123" s="157"/>
      <c r="L123" s="157"/>
      <c r="M123" s="161"/>
      <c r="N123" s="162"/>
    </row>
    <row r="124" spans="1:14" ht="13.5">
      <c r="A124" s="156"/>
      <c r="B124" s="157"/>
      <c r="C124" s="158"/>
      <c r="D124" s="158"/>
      <c r="E124" s="159"/>
      <c r="F124" s="160"/>
      <c r="G124" s="157"/>
      <c r="H124" s="157"/>
      <c r="I124" s="157"/>
      <c r="J124" s="157"/>
      <c r="K124" s="157"/>
      <c r="L124" s="157"/>
      <c r="M124" s="161"/>
      <c r="N124" s="162"/>
    </row>
    <row r="125" spans="1:14" ht="13.5">
      <c r="A125" s="156"/>
      <c r="B125" s="157"/>
      <c r="C125" s="158"/>
      <c r="D125" s="158"/>
      <c r="E125" s="159"/>
      <c r="F125" s="160"/>
      <c r="G125" s="157"/>
      <c r="H125" s="157"/>
      <c r="I125" s="157"/>
      <c r="J125" s="157"/>
      <c r="K125" s="157"/>
      <c r="L125" s="157"/>
      <c r="M125" s="161"/>
      <c r="N125" s="162"/>
    </row>
    <row r="126" spans="1:14" ht="13.5">
      <c r="A126" s="156"/>
      <c r="B126" s="157"/>
      <c r="C126" s="158"/>
      <c r="D126" s="158"/>
      <c r="E126" s="159"/>
      <c r="F126" s="160"/>
      <c r="G126" s="157"/>
      <c r="H126" s="157"/>
      <c r="I126" s="157"/>
      <c r="J126" s="157"/>
      <c r="K126" s="157"/>
      <c r="L126" s="157"/>
      <c r="M126" s="161"/>
      <c r="N126" s="162"/>
    </row>
    <row r="127" spans="1:14" ht="13.5">
      <c r="A127" s="156"/>
      <c r="B127" s="157"/>
      <c r="C127" s="158"/>
      <c r="D127" s="158"/>
      <c r="E127" s="159"/>
      <c r="F127" s="160"/>
      <c r="G127" s="157"/>
      <c r="H127" s="157"/>
      <c r="I127" s="157"/>
      <c r="J127" s="157"/>
      <c r="K127" s="157"/>
      <c r="L127" s="157"/>
      <c r="M127" s="161"/>
      <c r="N127" s="162"/>
    </row>
    <row r="128" spans="1:14" ht="13.5">
      <c r="A128" s="156"/>
      <c r="B128" s="157"/>
      <c r="C128" s="158"/>
      <c r="D128" s="158"/>
      <c r="E128" s="159"/>
      <c r="F128" s="160"/>
      <c r="G128" s="157"/>
      <c r="H128" s="157"/>
      <c r="I128" s="157"/>
      <c r="J128" s="157"/>
      <c r="K128" s="157"/>
      <c r="L128" s="157"/>
      <c r="M128" s="161"/>
      <c r="N128" s="162"/>
    </row>
    <row r="129" spans="1:14" ht="13.5">
      <c r="A129" s="156"/>
      <c r="B129" s="157"/>
      <c r="C129" s="158"/>
      <c r="D129" s="158"/>
      <c r="E129" s="159"/>
      <c r="F129" s="160"/>
      <c r="G129" s="157"/>
      <c r="H129" s="157"/>
      <c r="I129" s="157"/>
      <c r="J129" s="157"/>
      <c r="K129" s="157"/>
      <c r="L129" s="157"/>
      <c r="M129" s="161"/>
      <c r="N129" s="162"/>
    </row>
    <row r="130" spans="1:14" ht="13.5">
      <c r="A130" s="156"/>
      <c r="B130" s="157"/>
      <c r="C130" s="158"/>
      <c r="D130" s="158"/>
      <c r="E130" s="159"/>
      <c r="F130" s="160"/>
      <c r="G130" s="157"/>
      <c r="H130" s="157"/>
      <c r="I130" s="157"/>
      <c r="J130" s="157"/>
      <c r="K130" s="157"/>
      <c r="L130" s="157"/>
      <c r="M130" s="161"/>
      <c r="N130" s="162"/>
    </row>
    <row r="131" spans="1:14" ht="13.5">
      <c r="A131" s="156"/>
      <c r="B131" s="157"/>
      <c r="C131" s="158"/>
      <c r="D131" s="158"/>
      <c r="E131" s="159"/>
      <c r="F131" s="160"/>
      <c r="G131" s="157"/>
      <c r="H131" s="157"/>
      <c r="I131" s="157"/>
      <c r="J131" s="157"/>
      <c r="K131" s="157"/>
      <c r="L131" s="157"/>
      <c r="M131" s="161"/>
      <c r="N131" s="162"/>
    </row>
    <row r="132" spans="1:14" ht="13.5">
      <c r="A132" s="156"/>
      <c r="B132" s="157"/>
      <c r="C132" s="158"/>
      <c r="D132" s="158"/>
      <c r="E132" s="159"/>
      <c r="F132" s="160"/>
      <c r="G132" s="157"/>
      <c r="H132" s="157"/>
      <c r="I132" s="157"/>
      <c r="J132" s="157"/>
      <c r="K132" s="157"/>
      <c r="L132" s="157"/>
      <c r="M132" s="161"/>
      <c r="N132" s="162"/>
    </row>
    <row r="133" spans="1:14" ht="13.5">
      <c r="A133" s="156"/>
      <c r="B133" s="157"/>
      <c r="C133" s="158"/>
      <c r="D133" s="158"/>
      <c r="E133" s="159"/>
      <c r="F133" s="160"/>
      <c r="G133" s="157"/>
      <c r="H133" s="157"/>
      <c r="I133" s="157"/>
      <c r="J133" s="157"/>
      <c r="K133" s="157"/>
      <c r="L133" s="157"/>
      <c r="M133" s="161"/>
      <c r="N133" s="162"/>
    </row>
    <row r="134" spans="1:14" ht="13.5">
      <c r="A134" s="156"/>
      <c r="B134" s="157"/>
      <c r="C134" s="158"/>
      <c r="D134" s="158"/>
      <c r="E134" s="159"/>
      <c r="F134" s="160"/>
      <c r="G134" s="157"/>
      <c r="H134" s="157"/>
      <c r="I134" s="157"/>
      <c r="J134" s="157"/>
      <c r="K134" s="157"/>
      <c r="L134" s="157"/>
      <c r="M134" s="161"/>
      <c r="N134" s="162"/>
    </row>
    <row r="135" spans="1:14" ht="13.5">
      <c r="A135" s="156"/>
      <c r="B135" s="157"/>
      <c r="C135" s="158"/>
      <c r="D135" s="158"/>
      <c r="E135" s="159"/>
      <c r="F135" s="160"/>
      <c r="G135" s="157"/>
      <c r="H135" s="157"/>
      <c r="I135" s="157"/>
      <c r="J135" s="157"/>
      <c r="K135" s="157"/>
      <c r="L135" s="157"/>
      <c r="M135" s="161"/>
      <c r="N135" s="162"/>
    </row>
    <row r="136" spans="1:14" ht="13.5">
      <c r="A136" s="156"/>
      <c r="B136" s="157"/>
      <c r="C136" s="158"/>
      <c r="D136" s="158"/>
      <c r="E136" s="159"/>
      <c r="F136" s="160"/>
      <c r="G136" s="157"/>
      <c r="H136" s="157"/>
      <c r="I136" s="157"/>
      <c r="J136" s="157"/>
      <c r="K136" s="157"/>
      <c r="L136" s="157"/>
      <c r="M136" s="161"/>
      <c r="N136" s="162"/>
    </row>
    <row r="137" spans="1:14" ht="13.5">
      <c r="A137" s="156"/>
      <c r="B137" s="157"/>
      <c r="C137" s="158"/>
      <c r="D137" s="158"/>
      <c r="E137" s="159"/>
      <c r="F137" s="160"/>
      <c r="G137" s="157"/>
      <c r="H137" s="157"/>
      <c r="I137" s="157"/>
      <c r="J137" s="157"/>
      <c r="K137" s="157"/>
      <c r="L137" s="157"/>
      <c r="M137" s="161"/>
      <c r="N137" s="162"/>
    </row>
    <row r="138" spans="1:14" ht="13.5">
      <c r="A138" s="156"/>
      <c r="B138" s="157"/>
      <c r="C138" s="158"/>
      <c r="D138" s="158"/>
      <c r="E138" s="159"/>
      <c r="F138" s="160"/>
      <c r="G138" s="157"/>
      <c r="H138" s="157"/>
      <c r="I138" s="157"/>
      <c r="J138" s="157"/>
      <c r="K138" s="157"/>
      <c r="L138" s="157"/>
      <c r="M138" s="161"/>
      <c r="N138" s="162"/>
    </row>
    <row r="139" spans="1:14" ht="13.5">
      <c r="A139" s="156"/>
      <c r="B139" s="157"/>
      <c r="C139" s="158"/>
      <c r="D139" s="158"/>
      <c r="E139" s="159"/>
      <c r="F139" s="160"/>
      <c r="G139" s="157"/>
      <c r="H139" s="157"/>
      <c r="I139" s="157"/>
      <c r="J139" s="157"/>
      <c r="K139" s="157"/>
      <c r="L139" s="157"/>
      <c r="M139" s="161"/>
      <c r="N139" s="162"/>
    </row>
    <row r="140" spans="1:14" ht="13.5">
      <c r="A140" s="156"/>
      <c r="B140" s="157"/>
      <c r="C140" s="158"/>
      <c r="D140" s="158"/>
      <c r="E140" s="159"/>
      <c r="F140" s="160"/>
      <c r="G140" s="157"/>
      <c r="H140" s="157"/>
      <c r="I140" s="157"/>
      <c r="J140" s="157"/>
      <c r="K140" s="157"/>
      <c r="L140" s="157"/>
      <c r="M140" s="161"/>
      <c r="N140" s="162"/>
    </row>
    <row r="141" spans="1:14" ht="13.5">
      <c r="A141" s="156"/>
      <c r="B141" s="157"/>
      <c r="C141" s="158"/>
      <c r="D141" s="158"/>
      <c r="E141" s="159"/>
      <c r="F141" s="160"/>
      <c r="G141" s="157"/>
      <c r="H141" s="157"/>
      <c r="I141" s="157"/>
      <c r="J141" s="157"/>
      <c r="K141" s="157"/>
      <c r="L141" s="157"/>
      <c r="M141" s="161"/>
      <c r="N141" s="162"/>
    </row>
    <row r="142" spans="1:14" ht="13.5">
      <c r="A142" s="156"/>
      <c r="B142" s="157"/>
      <c r="C142" s="158"/>
      <c r="D142" s="158"/>
      <c r="E142" s="159"/>
      <c r="F142" s="160"/>
      <c r="G142" s="157"/>
      <c r="H142" s="157"/>
      <c r="I142" s="157"/>
      <c r="J142" s="157"/>
      <c r="K142" s="157"/>
      <c r="L142" s="157"/>
      <c r="M142" s="161"/>
      <c r="N142" s="162"/>
    </row>
    <row r="143" spans="1:14" ht="13.5">
      <c r="A143" s="156"/>
      <c r="B143" s="157"/>
      <c r="C143" s="158"/>
      <c r="D143" s="158"/>
      <c r="E143" s="159"/>
      <c r="F143" s="160"/>
      <c r="G143" s="157"/>
      <c r="H143" s="157"/>
      <c r="I143" s="157"/>
      <c r="J143" s="157"/>
      <c r="K143" s="157"/>
      <c r="L143" s="157"/>
      <c r="M143" s="161"/>
      <c r="N143" s="162"/>
    </row>
    <row r="144" spans="1:14" ht="13.5">
      <c r="A144" s="156"/>
      <c r="B144" s="157"/>
      <c r="C144" s="158"/>
      <c r="D144" s="158"/>
      <c r="E144" s="159"/>
      <c r="F144" s="160"/>
      <c r="G144" s="157"/>
      <c r="H144" s="157"/>
      <c r="I144" s="157"/>
      <c r="J144" s="157"/>
      <c r="K144" s="157"/>
      <c r="L144" s="157"/>
      <c r="M144" s="161"/>
      <c r="N144" s="162"/>
    </row>
    <row r="145" spans="1:14" ht="13.5">
      <c r="A145" s="156"/>
      <c r="B145" s="157"/>
      <c r="C145" s="158"/>
      <c r="D145" s="158"/>
      <c r="E145" s="159"/>
      <c r="F145" s="160"/>
      <c r="G145" s="157"/>
      <c r="H145" s="157"/>
      <c r="I145" s="157"/>
      <c r="J145" s="157"/>
      <c r="K145" s="157"/>
      <c r="L145" s="157"/>
      <c r="M145" s="161"/>
      <c r="N145" s="162"/>
    </row>
    <row r="146" spans="1:14" ht="13.5">
      <c r="A146" s="156"/>
      <c r="B146" s="157"/>
      <c r="C146" s="158"/>
      <c r="D146" s="158"/>
      <c r="E146" s="159"/>
      <c r="F146" s="160"/>
      <c r="G146" s="157"/>
      <c r="H146" s="157"/>
      <c r="I146" s="157"/>
      <c r="J146" s="157"/>
      <c r="K146" s="157"/>
      <c r="L146" s="157"/>
      <c r="M146" s="161"/>
      <c r="N146" s="162"/>
    </row>
    <row r="147" spans="1:14" ht="13.5">
      <c r="A147" s="156"/>
      <c r="B147" s="157"/>
      <c r="C147" s="158"/>
      <c r="D147" s="158"/>
      <c r="E147" s="159"/>
      <c r="F147" s="160"/>
      <c r="G147" s="157"/>
      <c r="H147" s="157"/>
      <c r="I147" s="157"/>
      <c r="J147" s="157"/>
      <c r="K147" s="157"/>
      <c r="L147" s="157"/>
      <c r="M147" s="161"/>
      <c r="N147" s="162"/>
    </row>
    <row r="148" spans="1:14" ht="13.5">
      <c r="A148" s="156"/>
      <c r="B148" s="157"/>
      <c r="C148" s="158"/>
      <c r="D148" s="158"/>
      <c r="E148" s="159"/>
      <c r="F148" s="160"/>
      <c r="G148" s="157"/>
      <c r="H148" s="157"/>
      <c r="I148" s="157"/>
      <c r="J148" s="157"/>
      <c r="K148" s="157"/>
      <c r="L148" s="157"/>
      <c r="M148" s="161"/>
      <c r="N148" s="162"/>
    </row>
    <row r="149" spans="1:14" ht="14.25" thickBot="1">
      <c r="A149" s="169"/>
      <c r="B149" s="170"/>
      <c r="C149" s="171"/>
      <c r="D149" s="171"/>
      <c r="E149" s="172"/>
      <c r="F149" s="173"/>
      <c r="G149" s="170"/>
      <c r="H149" s="170"/>
      <c r="I149" s="170"/>
      <c r="J149" s="170"/>
      <c r="K149" s="170"/>
      <c r="L149" s="170"/>
      <c r="M149" s="174"/>
      <c r="N149" s="175"/>
    </row>
    <row r="150" spans="1:14" ht="14.25" thickBot="1">
      <c r="A150" s="169"/>
      <c r="B150" s="170"/>
      <c r="C150" s="171"/>
      <c r="D150" s="171"/>
      <c r="E150" s="172"/>
      <c r="F150" s="173"/>
      <c r="G150" s="170"/>
      <c r="H150" s="170"/>
      <c r="I150" s="170"/>
      <c r="J150" s="170"/>
      <c r="K150" s="170"/>
      <c r="L150" s="170"/>
      <c r="M150" s="174"/>
      <c r="N150" s="175"/>
    </row>
    <row r="151" spans="1:14" ht="13.5">
      <c r="A151" s="176"/>
      <c r="B151" s="177"/>
      <c r="C151" s="203"/>
      <c r="D151" s="178"/>
      <c r="E151" s="179"/>
      <c r="F151" s="180"/>
      <c r="G151" s="177"/>
      <c r="H151" s="177"/>
      <c r="I151" s="177"/>
      <c r="J151" s="177"/>
      <c r="K151" s="177"/>
      <c r="L151" s="177"/>
      <c r="M151" s="181"/>
      <c r="N151" s="177"/>
    </row>
    <row r="152" spans="1:14" ht="13.5">
      <c r="A152" s="176"/>
      <c r="B152" s="177"/>
      <c r="C152" s="178"/>
      <c r="D152" s="178"/>
      <c r="E152" s="179"/>
      <c r="F152" s="180"/>
      <c r="G152" s="177"/>
      <c r="H152" s="177"/>
      <c r="I152" s="177"/>
      <c r="J152" s="177"/>
      <c r="K152" s="177"/>
      <c r="L152" s="177"/>
      <c r="M152" s="181"/>
      <c r="N152" s="177"/>
    </row>
    <row r="153" spans="1:14" ht="13.5">
      <c r="A153" s="176"/>
      <c r="B153" s="177"/>
      <c r="C153" s="178"/>
      <c r="D153" s="178"/>
      <c r="E153" s="179"/>
      <c r="F153" s="180"/>
      <c r="G153" s="177"/>
      <c r="H153" s="177"/>
      <c r="I153" s="177"/>
      <c r="J153" s="177"/>
      <c r="K153" s="177"/>
      <c r="L153" s="177"/>
      <c r="M153" s="181"/>
      <c r="N153" s="177"/>
    </row>
    <row r="154" spans="1:14" ht="13.5">
      <c r="A154" s="176"/>
      <c r="B154" s="177"/>
      <c r="C154" s="178"/>
      <c r="D154" s="178"/>
      <c r="E154" s="179"/>
      <c r="F154" s="180"/>
      <c r="G154" s="177"/>
      <c r="H154" s="177"/>
      <c r="I154" s="177"/>
      <c r="J154" s="177"/>
      <c r="K154" s="177"/>
      <c r="L154" s="177"/>
      <c r="M154" s="181"/>
      <c r="N154" s="177"/>
    </row>
    <row r="155" spans="1:14" ht="13.5">
      <c r="A155" s="176"/>
      <c r="B155" s="177"/>
      <c r="C155" s="178"/>
      <c r="D155" s="178"/>
      <c r="E155" s="179"/>
      <c r="F155" s="180"/>
      <c r="G155" s="177"/>
      <c r="H155" s="177"/>
      <c r="I155" s="177"/>
      <c r="J155" s="177"/>
      <c r="K155" s="177"/>
      <c r="L155" s="177"/>
      <c r="M155" s="181"/>
      <c r="N155" s="177"/>
    </row>
    <row r="156" spans="1:14" ht="13.5">
      <c r="A156" s="176"/>
      <c r="B156" s="177"/>
      <c r="C156" s="178"/>
      <c r="D156" s="178"/>
      <c r="E156" s="179"/>
      <c r="F156" s="180"/>
      <c r="G156" s="177"/>
      <c r="H156" s="177"/>
      <c r="I156" s="177"/>
      <c r="J156" s="177"/>
      <c r="K156" s="177"/>
      <c r="L156" s="177"/>
      <c r="M156" s="181"/>
      <c r="N156" s="177"/>
    </row>
    <row r="157" spans="1:14" ht="13.5">
      <c r="A157" s="176"/>
      <c r="B157" s="177"/>
      <c r="C157" s="178"/>
      <c r="D157" s="178"/>
      <c r="E157" s="179"/>
      <c r="F157" s="180"/>
      <c r="G157" s="177"/>
      <c r="H157" s="177"/>
      <c r="I157" s="177"/>
      <c r="J157" s="177"/>
      <c r="K157" s="177"/>
      <c r="L157" s="177"/>
      <c r="M157" s="181"/>
      <c r="N157" s="177"/>
    </row>
    <row r="158" spans="1:14" ht="13.5">
      <c r="A158" s="176"/>
      <c r="B158" s="177"/>
      <c r="C158" s="178"/>
      <c r="D158" s="178"/>
      <c r="E158" s="179"/>
      <c r="F158" s="180"/>
      <c r="G158" s="177"/>
      <c r="H158" s="177"/>
      <c r="I158" s="177"/>
      <c r="J158" s="177"/>
      <c r="K158" s="177"/>
      <c r="L158" s="177"/>
      <c r="M158" s="181"/>
      <c r="N158" s="177"/>
    </row>
    <row r="159" spans="1:14" ht="13.5">
      <c r="A159" s="176"/>
      <c r="B159" s="177"/>
      <c r="C159" s="178"/>
      <c r="D159" s="178"/>
      <c r="E159" s="179"/>
      <c r="F159" s="180"/>
      <c r="G159" s="177"/>
      <c r="H159" s="177"/>
      <c r="I159" s="177"/>
      <c r="J159" s="177"/>
      <c r="K159" s="177"/>
      <c r="L159" s="177"/>
      <c r="M159" s="181"/>
      <c r="N159" s="177"/>
    </row>
    <row r="160" spans="1:14" ht="13.5">
      <c r="A160" s="176"/>
      <c r="B160" s="177"/>
      <c r="C160" s="178"/>
      <c r="D160" s="178"/>
      <c r="E160" s="179"/>
      <c r="F160" s="180"/>
      <c r="G160" s="177"/>
      <c r="H160" s="177"/>
      <c r="I160" s="177"/>
      <c r="J160" s="177"/>
      <c r="K160" s="177"/>
      <c r="L160" s="177"/>
      <c r="M160" s="181"/>
      <c r="N160" s="177"/>
    </row>
    <row r="161" spans="1:14" ht="13.5">
      <c r="A161" s="176"/>
      <c r="B161" s="177"/>
      <c r="C161" s="178"/>
      <c r="D161" s="178"/>
      <c r="E161" s="179"/>
      <c r="F161" s="180"/>
      <c r="G161" s="177"/>
      <c r="H161" s="177"/>
      <c r="I161" s="177"/>
      <c r="J161" s="177"/>
      <c r="K161" s="177"/>
      <c r="L161" s="177"/>
      <c r="M161" s="181"/>
      <c r="N161" s="177"/>
    </row>
    <row r="162" spans="1:14" ht="13.5">
      <c r="A162" s="176"/>
      <c r="B162" s="177"/>
      <c r="C162" s="178"/>
      <c r="D162" s="178"/>
      <c r="E162" s="179"/>
      <c r="F162" s="180"/>
      <c r="G162" s="177"/>
      <c r="H162" s="177"/>
      <c r="I162" s="177"/>
      <c r="J162" s="177"/>
      <c r="K162" s="177"/>
      <c r="L162" s="177"/>
      <c r="M162" s="181"/>
      <c r="N162" s="177"/>
    </row>
    <row r="163" spans="1:14" ht="13.5">
      <c r="A163" s="176"/>
      <c r="B163" s="177"/>
      <c r="C163" s="178"/>
      <c r="D163" s="178"/>
      <c r="E163" s="179"/>
      <c r="F163" s="180"/>
      <c r="G163" s="177"/>
      <c r="H163" s="177"/>
      <c r="I163" s="177"/>
      <c r="J163" s="177"/>
      <c r="K163" s="177"/>
      <c r="L163" s="177"/>
      <c r="M163" s="181"/>
      <c r="N163" s="177"/>
    </row>
    <row r="164" spans="1:14" ht="13.5">
      <c r="A164" s="176"/>
      <c r="B164" s="177"/>
      <c r="C164" s="178"/>
      <c r="D164" s="178"/>
      <c r="E164" s="179"/>
      <c r="F164" s="180"/>
      <c r="G164" s="177"/>
      <c r="H164" s="177"/>
      <c r="I164" s="177"/>
      <c r="J164" s="177"/>
      <c r="K164" s="177"/>
      <c r="L164" s="177"/>
      <c r="M164" s="181"/>
      <c r="N164" s="177"/>
    </row>
    <row r="165" spans="1:14" ht="13.5">
      <c r="A165" s="176"/>
      <c r="B165" s="177"/>
      <c r="C165" s="178"/>
      <c r="D165" s="178"/>
      <c r="E165" s="179"/>
      <c r="F165" s="180"/>
      <c r="G165" s="177"/>
      <c r="H165" s="177"/>
      <c r="I165" s="177"/>
      <c r="J165" s="177"/>
      <c r="K165" s="177"/>
      <c r="L165" s="177"/>
      <c r="M165" s="181"/>
      <c r="N165" s="177"/>
    </row>
    <row r="166" spans="1:14" ht="13.5">
      <c r="A166" s="176"/>
      <c r="B166" s="177"/>
      <c r="C166" s="178"/>
      <c r="D166" s="178"/>
      <c r="E166" s="179"/>
      <c r="F166" s="180"/>
      <c r="G166" s="177"/>
      <c r="H166" s="177"/>
      <c r="I166" s="177"/>
      <c r="J166" s="177"/>
      <c r="K166" s="177"/>
      <c r="L166" s="177"/>
      <c r="M166" s="181"/>
      <c r="N166" s="177"/>
    </row>
    <row r="167" spans="1:14" ht="13.5">
      <c r="A167" s="176"/>
      <c r="B167" s="177"/>
      <c r="C167" s="178"/>
      <c r="D167" s="178"/>
      <c r="E167" s="179"/>
      <c r="F167" s="180"/>
      <c r="G167" s="177"/>
      <c r="H167" s="177"/>
      <c r="I167" s="177"/>
      <c r="J167" s="177"/>
      <c r="K167" s="177"/>
      <c r="L167" s="177"/>
      <c r="M167" s="181"/>
      <c r="N167" s="177"/>
    </row>
    <row r="168" spans="1:14" ht="13.5">
      <c r="A168" s="176"/>
      <c r="B168" s="177"/>
      <c r="C168" s="178"/>
      <c r="D168" s="178"/>
      <c r="E168" s="179"/>
      <c r="F168" s="180"/>
      <c r="G168" s="177"/>
      <c r="H168" s="177"/>
      <c r="I168" s="177"/>
      <c r="J168" s="177"/>
      <c r="K168" s="177"/>
      <c r="L168" s="177"/>
      <c r="M168" s="181"/>
      <c r="N168" s="177"/>
    </row>
    <row r="169" spans="1:14" ht="13.5">
      <c r="A169" s="176"/>
      <c r="B169" s="177"/>
      <c r="C169" s="178"/>
      <c r="D169" s="178"/>
      <c r="E169" s="179"/>
      <c r="F169" s="180"/>
      <c r="G169" s="177"/>
      <c r="H169" s="177"/>
      <c r="I169" s="177"/>
      <c r="J169" s="177"/>
      <c r="K169" s="177"/>
      <c r="L169" s="177"/>
      <c r="M169" s="181"/>
      <c r="N169" s="177"/>
    </row>
    <row r="170" spans="1:14" ht="13.5">
      <c r="A170" s="176"/>
      <c r="B170" s="177"/>
      <c r="C170" s="178"/>
      <c r="D170" s="178"/>
      <c r="E170" s="179"/>
      <c r="F170" s="180"/>
      <c r="G170" s="177"/>
      <c r="H170" s="177"/>
      <c r="I170" s="177"/>
      <c r="J170" s="177"/>
      <c r="K170" s="177"/>
      <c r="L170" s="177"/>
      <c r="M170" s="181"/>
      <c r="N170" s="177"/>
    </row>
    <row r="171" spans="1:14" ht="13.5">
      <c r="A171" s="176"/>
      <c r="B171" s="177"/>
      <c r="C171" s="178"/>
      <c r="D171" s="178"/>
      <c r="E171" s="179"/>
      <c r="F171" s="180"/>
      <c r="G171" s="177"/>
      <c r="H171" s="177"/>
      <c r="I171" s="177"/>
      <c r="J171" s="177"/>
      <c r="K171" s="177"/>
      <c r="L171" s="177"/>
      <c r="M171" s="181"/>
      <c r="N171" s="177"/>
    </row>
    <row r="172" spans="1:14" ht="13.5">
      <c r="A172" s="176"/>
      <c r="B172" s="177"/>
      <c r="C172" s="178"/>
      <c r="D172" s="178"/>
      <c r="E172" s="179"/>
      <c r="F172" s="180"/>
      <c r="G172" s="177"/>
      <c r="H172" s="177"/>
      <c r="I172" s="177"/>
      <c r="J172" s="177"/>
      <c r="K172" s="177"/>
      <c r="L172" s="177"/>
      <c r="M172" s="181"/>
      <c r="N172" s="177"/>
    </row>
    <row r="173" spans="1:14" ht="13.5">
      <c r="A173" s="176"/>
      <c r="B173" s="177"/>
      <c r="C173" s="178"/>
      <c r="D173" s="178"/>
      <c r="E173" s="179"/>
      <c r="F173" s="180"/>
      <c r="G173" s="177"/>
      <c r="H173" s="177"/>
      <c r="I173" s="177"/>
      <c r="J173" s="177"/>
      <c r="K173" s="177"/>
      <c r="L173" s="177"/>
      <c r="M173" s="181"/>
      <c r="N173" s="177"/>
    </row>
    <row r="174" spans="1:14" ht="13.5">
      <c r="A174" s="176"/>
      <c r="B174" s="177"/>
      <c r="C174" s="178"/>
      <c r="D174" s="178"/>
      <c r="E174" s="179"/>
      <c r="F174" s="180"/>
      <c r="G174" s="177"/>
      <c r="H174" s="177"/>
      <c r="I174" s="177"/>
      <c r="J174" s="177"/>
      <c r="K174" s="177"/>
      <c r="L174" s="177"/>
      <c r="M174" s="181"/>
      <c r="N174" s="177"/>
    </row>
  </sheetData>
  <mergeCells count="59">
    <mergeCell ref="G112:H112"/>
    <mergeCell ref="I112:J112"/>
    <mergeCell ref="E113:F113"/>
    <mergeCell ref="G113:H113"/>
    <mergeCell ref="I113:J113"/>
    <mergeCell ref="E66:F66"/>
    <mergeCell ref="A8:N8"/>
    <mergeCell ref="G9:H9"/>
    <mergeCell ref="I9:J9"/>
    <mergeCell ref="K9:L9"/>
    <mergeCell ref="M29:N29"/>
    <mergeCell ref="A62:E62"/>
    <mergeCell ref="A63:E63"/>
    <mergeCell ref="A64:E64"/>
    <mergeCell ref="E65:F65"/>
    <mergeCell ref="M9:N9"/>
    <mergeCell ref="A29:A30"/>
    <mergeCell ref="B29:B30"/>
    <mergeCell ref="C29:C30"/>
    <mergeCell ref="D29:D30"/>
    <mergeCell ref="E29:E30"/>
    <mergeCell ref="E111:F111"/>
    <mergeCell ref="A112:B112"/>
    <mergeCell ref="E112:F112"/>
    <mergeCell ref="A67:B67"/>
    <mergeCell ref="E67:F67"/>
    <mergeCell ref="A107:E107"/>
    <mergeCell ref="A108:E108"/>
    <mergeCell ref="A109:E109"/>
    <mergeCell ref="E110:F110"/>
    <mergeCell ref="G67:H67"/>
    <mergeCell ref="I67:J67"/>
    <mergeCell ref="E68:F68"/>
    <mergeCell ref="G68:H68"/>
    <mergeCell ref="I68:J68"/>
    <mergeCell ref="F29:F30"/>
    <mergeCell ref="G29:H29"/>
    <mergeCell ref="I29:J29"/>
    <mergeCell ref="K29:L29"/>
    <mergeCell ref="A9:A10"/>
    <mergeCell ref="B9:B10"/>
    <mergeCell ref="C9:C10"/>
    <mergeCell ref="D9:D10"/>
    <mergeCell ref="E9:E10"/>
    <mergeCell ref="F9:F10"/>
    <mergeCell ref="A6:B6"/>
    <mergeCell ref="E6:F6"/>
    <mergeCell ref="G6:H6"/>
    <mergeCell ref="I6:J6"/>
    <mergeCell ref="E7:F7"/>
    <mergeCell ref="G7:H7"/>
    <mergeCell ref="I7:J7"/>
    <mergeCell ref="A7:D7"/>
    <mergeCell ref="A1:E1"/>
    <mergeCell ref="A2:E2"/>
    <mergeCell ref="A3:E3"/>
    <mergeCell ref="E4:F4"/>
    <mergeCell ref="A5:D5"/>
    <mergeCell ref="E5:F5"/>
  </mergeCells>
  <conditionalFormatting sqref="G7:H7">
    <cfRule type="cellIs" dxfId="3" priority="3" stopIfTrue="1" operator="notEqual">
      <formula>$F$35</formula>
    </cfRule>
  </conditionalFormatting>
  <conditionalFormatting sqref="W36">
    <cfRule type="cellIs" dxfId="2" priority="1" stopIfTrue="1" operator="equal">
      <formula>$N$36</formula>
    </cfRule>
    <cfRule type="cellIs" dxfId="1" priority="2" stopIfTrue="1" operator="notEqual">
      <formula>$N$36</formula>
    </cfRule>
  </conditionalFormatting>
  <printOptions horizontalCentered="1" verticalCentered="1"/>
  <pageMargins left="0.39370078740157483" right="0.39370078740157483" top="0.59055118110236227" bottom="0.98425196850393704" header="0.51181102362204722" footer="0.51181102362204722"/>
  <pageSetup paperSize="9" scale="54" fitToHeight="0" orientation="landscape" horizontalDpi="4294967295" verticalDpi="4294967295" r:id="rId1"/>
  <headerFooter alignWithMargins="0">
    <oddFooter>&amp;RCoordenação de Orçamento e Planejamento Eng. Civil Inácio AlvesCREA/BA: 25.577-D</oddFooter>
  </headerFooter>
  <rowBreaks count="2" manualBreakCount="2">
    <brk id="59" max="13" man="1"/>
    <brk id="106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Y54"/>
  <sheetViews>
    <sheetView zoomScale="90" zoomScaleNormal="90" zoomScaleSheetLayoutView="100" workbookViewId="0">
      <selection activeCell="L17" sqref="L17"/>
    </sheetView>
  </sheetViews>
  <sheetFormatPr defaultRowHeight="14.25"/>
  <cols>
    <col min="1" max="1" width="10.28515625" style="211" customWidth="1"/>
    <col min="2" max="2" width="56.7109375" style="211" customWidth="1"/>
    <col min="3" max="3" width="18.7109375" style="211" customWidth="1"/>
    <col min="4" max="4" width="2" style="211" customWidth="1"/>
    <col min="5" max="5" width="17.140625" style="211" customWidth="1"/>
    <col min="6" max="6" width="1" style="211" customWidth="1"/>
    <col min="7" max="7" width="10.42578125" style="211" customWidth="1"/>
    <col min="8" max="8" width="11.42578125" style="211" customWidth="1"/>
    <col min="9" max="9" width="2.140625" style="211" customWidth="1"/>
    <col min="10" max="13" width="9.140625" style="211"/>
    <col min="14" max="14" width="69.7109375" style="211" customWidth="1"/>
    <col min="15" max="15" width="9.7109375" style="211" bestFit="1" customWidth="1"/>
    <col min="16" max="16" width="13.28515625" style="211" customWidth="1"/>
    <col min="17" max="17" width="14.42578125" style="211" customWidth="1"/>
    <col min="18" max="18" width="23.28515625" style="211" customWidth="1"/>
    <col min="19" max="256" width="9.140625" style="211"/>
    <col min="257" max="257" width="10.28515625" style="211" customWidth="1"/>
    <col min="258" max="258" width="56.7109375" style="211" customWidth="1"/>
    <col min="259" max="259" width="18.7109375" style="211" customWidth="1"/>
    <col min="260" max="260" width="2" style="211" customWidth="1"/>
    <col min="261" max="261" width="17.140625" style="211" customWidth="1"/>
    <col min="262" max="262" width="1" style="211" customWidth="1"/>
    <col min="263" max="263" width="10.42578125" style="211" customWidth="1"/>
    <col min="264" max="264" width="11.42578125" style="211" customWidth="1"/>
    <col min="265" max="265" width="2.140625" style="211" customWidth="1"/>
    <col min="266" max="269" width="9.140625" style="211"/>
    <col min="270" max="270" width="69.7109375" style="211" customWidth="1"/>
    <col min="271" max="271" width="9.7109375" style="211" bestFit="1" customWidth="1"/>
    <col min="272" max="272" width="13.28515625" style="211" customWidth="1"/>
    <col min="273" max="273" width="14.42578125" style="211" customWidth="1"/>
    <col min="274" max="274" width="23.28515625" style="211" customWidth="1"/>
    <col min="275" max="512" width="9.140625" style="211"/>
    <col min="513" max="513" width="10.28515625" style="211" customWidth="1"/>
    <col min="514" max="514" width="56.7109375" style="211" customWidth="1"/>
    <col min="515" max="515" width="18.7109375" style="211" customWidth="1"/>
    <col min="516" max="516" width="2" style="211" customWidth="1"/>
    <col min="517" max="517" width="17.140625" style="211" customWidth="1"/>
    <col min="518" max="518" width="1" style="211" customWidth="1"/>
    <col min="519" max="519" width="10.42578125" style="211" customWidth="1"/>
    <col min="520" max="520" width="11.42578125" style="211" customWidth="1"/>
    <col min="521" max="521" width="2.140625" style="211" customWidth="1"/>
    <col min="522" max="525" width="9.140625" style="211"/>
    <col min="526" max="526" width="69.7109375" style="211" customWidth="1"/>
    <col min="527" max="527" width="9.7109375" style="211" bestFit="1" customWidth="1"/>
    <col min="528" max="528" width="13.28515625" style="211" customWidth="1"/>
    <col min="529" max="529" width="14.42578125" style="211" customWidth="1"/>
    <col min="530" max="530" width="23.28515625" style="211" customWidth="1"/>
    <col min="531" max="768" width="9.140625" style="211"/>
    <col min="769" max="769" width="10.28515625" style="211" customWidth="1"/>
    <col min="770" max="770" width="56.7109375" style="211" customWidth="1"/>
    <col min="771" max="771" width="18.7109375" style="211" customWidth="1"/>
    <col min="772" max="772" width="2" style="211" customWidth="1"/>
    <col min="773" max="773" width="17.140625" style="211" customWidth="1"/>
    <col min="774" max="774" width="1" style="211" customWidth="1"/>
    <col min="775" max="775" width="10.42578125" style="211" customWidth="1"/>
    <col min="776" max="776" width="11.42578125" style="211" customWidth="1"/>
    <col min="777" max="777" width="2.140625" style="211" customWidth="1"/>
    <col min="778" max="781" width="9.140625" style="211"/>
    <col min="782" max="782" width="69.7109375" style="211" customWidth="1"/>
    <col min="783" max="783" width="9.7109375" style="211" bestFit="1" customWidth="1"/>
    <col min="784" max="784" width="13.28515625" style="211" customWidth="1"/>
    <col min="785" max="785" width="14.42578125" style="211" customWidth="1"/>
    <col min="786" max="786" width="23.28515625" style="211" customWidth="1"/>
    <col min="787" max="1024" width="9.140625" style="211"/>
    <col min="1025" max="1025" width="10.28515625" style="211" customWidth="1"/>
    <col min="1026" max="1026" width="56.7109375" style="211" customWidth="1"/>
    <col min="1027" max="1027" width="18.7109375" style="211" customWidth="1"/>
    <col min="1028" max="1028" width="2" style="211" customWidth="1"/>
    <col min="1029" max="1029" width="17.140625" style="211" customWidth="1"/>
    <col min="1030" max="1030" width="1" style="211" customWidth="1"/>
    <col min="1031" max="1031" width="10.42578125" style="211" customWidth="1"/>
    <col min="1032" max="1032" width="11.42578125" style="211" customWidth="1"/>
    <col min="1033" max="1033" width="2.140625" style="211" customWidth="1"/>
    <col min="1034" max="1037" width="9.140625" style="211"/>
    <col min="1038" max="1038" width="69.7109375" style="211" customWidth="1"/>
    <col min="1039" max="1039" width="9.7109375" style="211" bestFit="1" customWidth="1"/>
    <col min="1040" max="1040" width="13.28515625" style="211" customWidth="1"/>
    <col min="1041" max="1041" width="14.42578125" style="211" customWidth="1"/>
    <col min="1042" max="1042" width="23.28515625" style="211" customWidth="1"/>
    <col min="1043" max="1280" width="9.140625" style="211"/>
    <col min="1281" max="1281" width="10.28515625" style="211" customWidth="1"/>
    <col min="1282" max="1282" width="56.7109375" style="211" customWidth="1"/>
    <col min="1283" max="1283" width="18.7109375" style="211" customWidth="1"/>
    <col min="1284" max="1284" width="2" style="211" customWidth="1"/>
    <col min="1285" max="1285" width="17.140625" style="211" customWidth="1"/>
    <col min="1286" max="1286" width="1" style="211" customWidth="1"/>
    <col min="1287" max="1287" width="10.42578125" style="211" customWidth="1"/>
    <col min="1288" max="1288" width="11.42578125" style="211" customWidth="1"/>
    <col min="1289" max="1289" width="2.140625" style="211" customWidth="1"/>
    <col min="1290" max="1293" width="9.140625" style="211"/>
    <col min="1294" max="1294" width="69.7109375" style="211" customWidth="1"/>
    <col min="1295" max="1295" width="9.7109375" style="211" bestFit="1" customWidth="1"/>
    <col min="1296" max="1296" width="13.28515625" style="211" customWidth="1"/>
    <col min="1297" max="1297" width="14.42578125" style="211" customWidth="1"/>
    <col min="1298" max="1298" width="23.28515625" style="211" customWidth="1"/>
    <col min="1299" max="1536" width="9.140625" style="211"/>
    <col min="1537" max="1537" width="10.28515625" style="211" customWidth="1"/>
    <col min="1538" max="1538" width="56.7109375" style="211" customWidth="1"/>
    <col min="1539" max="1539" width="18.7109375" style="211" customWidth="1"/>
    <col min="1540" max="1540" width="2" style="211" customWidth="1"/>
    <col min="1541" max="1541" width="17.140625" style="211" customWidth="1"/>
    <col min="1542" max="1542" width="1" style="211" customWidth="1"/>
    <col min="1543" max="1543" width="10.42578125" style="211" customWidth="1"/>
    <col min="1544" max="1544" width="11.42578125" style="211" customWidth="1"/>
    <col min="1545" max="1545" width="2.140625" style="211" customWidth="1"/>
    <col min="1546" max="1549" width="9.140625" style="211"/>
    <col min="1550" max="1550" width="69.7109375" style="211" customWidth="1"/>
    <col min="1551" max="1551" width="9.7109375" style="211" bestFit="1" customWidth="1"/>
    <col min="1552" max="1552" width="13.28515625" style="211" customWidth="1"/>
    <col min="1553" max="1553" width="14.42578125" style="211" customWidth="1"/>
    <col min="1554" max="1554" width="23.28515625" style="211" customWidth="1"/>
    <col min="1555" max="1792" width="9.140625" style="211"/>
    <col min="1793" max="1793" width="10.28515625" style="211" customWidth="1"/>
    <col min="1794" max="1794" width="56.7109375" style="211" customWidth="1"/>
    <col min="1795" max="1795" width="18.7109375" style="211" customWidth="1"/>
    <col min="1796" max="1796" width="2" style="211" customWidth="1"/>
    <col min="1797" max="1797" width="17.140625" style="211" customWidth="1"/>
    <col min="1798" max="1798" width="1" style="211" customWidth="1"/>
    <col min="1799" max="1799" width="10.42578125" style="211" customWidth="1"/>
    <col min="1800" max="1800" width="11.42578125" style="211" customWidth="1"/>
    <col min="1801" max="1801" width="2.140625" style="211" customWidth="1"/>
    <col min="1802" max="1805" width="9.140625" style="211"/>
    <col min="1806" max="1806" width="69.7109375" style="211" customWidth="1"/>
    <col min="1807" max="1807" width="9.7109375" style="211" bestFit="1" customWidth="1"/>
    <col min="1808" max="1808" width="13.28515625" style="211" customWidth="1"/>
    <col min="1809" max="1809" width="14.42578125" style="211" customWidth="1"/>
    <col min="1810" max="1810" width="23.28515625" style="211" customWidth="1"/>
    <col min="1811" max="2048" width="9.140625" style="211"/>
    <col min="2049" max="2049" width="10.28515625" style="211" customWidth="1"/>
    <col min="2050" max="2050" width="56.7109375" style="211" customWidth="1"/>
    <col min="2051" max="2051" width="18.7109375" style="211" customWidth="1"/>
    <col min="2052" max="2052" width="2" style="211" customWidth="1"/>
    <col min="2053" max="2053" width="17.140625" style="211" customWidth="1"/>
    <col min="2054" max="2054" width="1" style="211" customWidth="1"/>
    <col min="2055" max="2055" width="10.42578125" style="211" customWidth="1"/>
    <col min="2056" max="2056" width="11.42578125" style="211" customWidth="1"/>
    <col min="2057" max="2057" width="2.140625" style="211" customWidth="1"/>
    <col min="2058" max="2061" width="9.140625" style="211"/>
    <col min="2062" max="2062" width="69.7109375" style="211" customWidth="1"/>
    <col min="2063" max="2063" width="9.7109375" style="211" bestFit="1" customWidth="1"/>
    <col min="2064" max="2064" width="13.28515625" style="211" customWidth="1"/>
    <col min="2065" max="2065" width="14.42578125" style="211" customWidth="1"/>
    <col min="2066" max="2066" width="23.28515625" style="211" customWidth="1"/>
    <col min="2067" max="2304" width="9.140625" style="211"/>
    <col min="2305" max="2305" width="10.28515625" style="211" customWidth="1"/>
    <col min="2306" max="2306" width="56.7109375" style="211" customWidth="1"/>
    <col min="2307" max="2307" width="18.7109375" style="211" customWidth="1"/>
    <col min="2308" max="2308" width="2" style="211" customWidth="1"/>
    <col min="2309" max="2309" width="17.140625" style="211" customWidth="1"/>
    <col min="2310" max="2310" width="1" style="211" customWidth="1"/>
    <col min="2311" max="2311" width="10.42578125" style="211" customWidth="1"/>
    <col min="2312" max="2312" width="11.42578125" style="211" customWidth="1"/>
    <col min="2313" max="2313" width="2.140625" style="211" customWidth="1"/>
    <col min="2314" max="2317" width="9.140625" style="211"/>
    <col min="2318" max="2318" width="69.7109375" style="211" customWidth="1"/>
    <col min="2319" max="2319" width="9.7109375" style="211" bestFit="1" customWidth="1"/>
    <col min="2320" max="2320" width="13.28515625" style="211" customWidth="1"/>
    <col min="2321" max="2321" width="14.42578125" style="211" customWidth="1"/>
    <col min="2322" max="2322" width="23.28515625" style="211" customWidth="1"/>
    <col min="2323" max="2560" width="9.140625" style="211"/>
    <col min="2561" max="2561" width="10.28515625" style="211" customWidth="1"/>
    <col min="2562" max="2562" width="56.7109375" style="211" customWidth="1"/>
    <col min="2563" max="2563" width="18.7109375" style="211" customWidth="1"/>
    <col min="2564" max="2564" width="2" style="211" customWidth="1"/>
    <col min="2565" max="2565" width="17.140625" style="211" customWidth="1"/>
    <col min="2566" max="2566" width="1" style="211" customWidth="1"/>
    <col min="2567" max="2567" width="10.42578125" style="211" customWidth="1"/>
    <col min="2568" max="2568" width="11.42578125" style="211" customWidth="1"/>
    <col min="2569" max="2569" width="2.140625" style="211" customWidth="1"/>
    <col min="2570" max="2573" width="9.140625" style="211"/>
    <col min="2574" max="2574" width="69.7109375" style="211" customWidth="1"/>
    <col min="2575" max="2575" width="9.7109375" style="211" bestFit="1" customWidth="1"/>
    <col min="2576" max="2576" width="13.28515625" style="211" customWidth="1"/>
    <col min="2577" max="2577" width="14.42578125" style="211" customWidth="1"/>
    <col min="2578" max="2578" width="23.28515625" style="211" customWidth="1"/>
    <col min="2579" max="2816" width="9.140625" style="211"/>
    <col min="2817" max="2817" width="10.28515625" style="211" customWidth="1"/>
    <col min="2818" max="2818" width="56.7109375" style="211" customWidth="1"/>
    <col min="2819" max="2819" width="18.7109375" style="211" customWidth="1"/>
    <col min="2820" max="2820" width="2" style="211" customWidth="1"/>
    <col min="2821" max="2821" width="17.140625" style="211" customWidth="1"/>
    <col min="2822" max="2822" width="1" style="211" customWidth="1"/>
    <col min="2823" max="2823" width="10.42578125" style="211" customWidth="1"/>
    <col min="2824" max="2824" width="11.42578125" style="211" customWidth="1"/>
    <col min="2825" max="2825" width="2.140625" style="211" customWidth="1"/>
    <col min="2826" max="2829" width="9.140625" style="211"/>
    <col min="2830" max="2830" width="69.7109375" style="211" customWidth="1"/>
    <col min="2831" max="2831" width="9.7109375" style="211" bestFit="1" customWidth="1"/>
    <col min="2832" max="2832" width="13.28515625" style="211" customWidth="1"/>
    <col min="2833" max="2833" width="14.42578125" style="211" customWidth="1"/>
    <col min="2834" max="2834" width="23.28515625" style="211" customWidth="1"/>
    <col min="2835" max="3072" width="9.140625" style="211"/>
    <col min="3073" max="3073" width="10.28515625" style="211" customWidth="1"/>
    <col min="3074" max="3074" width="56.7109375" style="211" customWidth="1"/>
    <col min="3075" max="3075" width="18.7109375" style="211" customWidth="1"/>
    <col min="3076" max="3076" width="2" style="211" customWidth="1"/>
    <col min="3077" max="3077" width="17.140625" style="211" customWidth="1"/>
    <col min="3078" max="3078" width="1" style="211" customWidth="1"/>
    <col min="3079" max="3079" width="10.42578125" style="211" customWidth="1"/>
    <col min="3080" max="3080" width="11.42578125" style="211" customWidth="1"/>
    <col min="3081" max="3081" width="2.140625" style="211" customWidth="1"/>
    <col min="3082" max="3085" width="9.140625" style="211"/>
    <col min="3086" max="3086" width="69.7109375" style="211" customWidth="1"/>
    <col min="3087" max="3087" width="9.7109375" style="211" bestFit="1" customWidth="1"/>
    <col min="3088" max="3088" width="13.28515625" style="211" customWidth="1"/>
    <col min="3089" max="3089" width="14.42578125" style="211" customWidth="1"/>
    <col min="3090" max="3090" width="23.28515625" style="211" customWidth="1"/>
    <col min="3091" max="3328" width="9.140625" style="211"/>
    <col min="3329" max="3329" width="10.28515625" style="211" customWidth="1"/>
    <col min="3330" max="3330" width="56.7109375" style="211" customWidth="1"/>
    <col min="3331" max="3331" width="18.7109375" style="211" customWidth="1"/>
    <col min="3332" max="3332" width="2" style="211" customWidth="1"/>
    <col min="3333" max="3333" width="17.140625" style="211" customWidth="1"/>
    <col min="3334" max="3334" width="1" style="211" customWidth="1"/>
    <col min="3335" max="3335" width="10.42578125" style="211" customWidth="1"/>
    <col min="3336" max="3336" width="11.42578125" style="211" customWidth="1"/>
    <col min="3337" max="3337" width="2.140625" style="211" customWidth="1"/>
    <col min="3338" max="3341" width="9.140625" style="211"/>
    <col min="3342" max="3342" width="69.7109375" style="211" customWidth="1"/>
    <col min="3343" max="3343" width="9.7109375" style="211" bestFit="1" customWidth="1"/>
    <col min="3344" max="3344" width="13.28515625" style="211" customWidth="1"/>
    <col min="3345" max="3345" width="14.42578125" style="211" customWidth="1"/>
    <col min="3346" max="3346" width="23.28515625" style="211" customWidth="1"/>
    <col min="3347" max="3584" width="9.140625" style="211"/>
    <col min="3585" max="3585" width="10.28515625" style="211" customWidth="1"/>
    <col min="3586" max="3586" width="56.7109375" style="211" customWidth="1"/>
    <col min="3587" max="3587" width="18.7109375" style="211" customWidth="1"/>
    <col min="3588" max="3588" width="2" style="211" customWidth="1"/>
    <col min="3589" max="3589" width="17.140625" style="211" customWidth="1"/>
    <col min="3590" max="3590" width="1" style="211" customWidth="1"/>
    <col min="3591" max="3591" width="10.42578125" style="211" customWidth="1"/>
    <col min="3592" max="3592" width="11.42578125" style="211" customWidth="1"/>
    <col min="3593" max="3593" width="2.140625" style="211" customWidth="1"/>
    <col min="3594" max="3597" width="9.140625" style="211"/>
    <col min="3598" max="3598" width="69.7109375" style="211" customWidth="1"/>
    <col min="3599" max="3599" width="9.7109375" style="211" bestFit="1" customWidth="1"/>
    <col min="3600" max="3600" width="13.28515625" style="211" customWidth="1"/>
    <col min="3601" max="3601" width="14.42578125" style="211" customWidth="1"/>
    <col min="3602" max="3602" width="23.28515625" style="211" customWidth="1"/>
    <col min="3603" max="3840" width="9.140625" style="211"/>
    <col min="3841" max="3841" width="10.28515625" style="211" customWidth="1"/>
    <col min="3842" max="3842" width="56.7109375" style="211" customWidth="1"/>
    <col min="3843" max="3843" width="18.7109375" style="211" customWidth="1"/>
    <col min="3844" max="3844" width="2" style="211" customWidth="1"/>
    <col min="3845" max="3845" width="17.140625" style="211" customWidth="1"/>
    <col min="3846" max="3846" width="1" style="211" customWidth="1"/>
    <col min="3847" max="3847" width="10.42578125" style="211" customWidth="1"/>
    <col min="3848" max="3848" width="11.42578125" style="211" customWidth="1"/>
    <col min="3849" max="3849" width="2.140625" style="211" customWidth="1"/>
    <col min="3850" max="3853" width="9.140625" style="211"/>
    <col min="3854" max="3854" width="69.7109375" style="211" customWidth="1"/>
    <col min="3855" max="3855" width="9.7109375" style="211" bestFit="1" customWidth="1"/>
    <col min="3856" max="3856" width="13.28515625" style="211" customWidth="1"/>
    <col min="3857" max="3857" width="14.42578125" style="211" customWidth="1"/>
    <col min="3858" max="3858" width="23.28515625" style="211" customWidth="1"/>
    <col min="3859" max="4096" width="9.140625" style="211"/>
    <col min="4097" max="4097" width="10.28515625" style="211" customWidth="1"/>
    <col min="4098" max="4098" width="56.7109375" style="211" customWidth="1"/>
    <col min="4099" max="4099" width="18.7109375" style="211" customWidth="1"/>
    <col min="4100" max="4100" width="2" style="211" customWidth="1"/>
    <col min="4101" max="4101" width="17.140625" style="211" customWidth="1"/>
    <col min="4102" max="4102" width="1" style="211" customWidth="1"/>
    <col min="4103" max="4103" width="10.42578125" style="211" customWidth="1"/>
    <col min="4104" max="4104" width="11.42578125" style="211" customWidth="1"/>
    <col min="4105" max="4105" width="2.140625" style="211" customWidth="1"/>
    <col min="4106" max="4109" width="9.140625" style="211"/>
    <col min="4110" max="4110" width="69.7109375" style="211" customWidth="1"/>
    <col min="4111" max="4111" width="9.7109375" style="211" bestFit="1" customWidth="1"/>
    <col min="4112" max="4112" width="13.28515625" style="211" customWidth="1"/>
    <col min="4113" max="4113" width="14.42578125" style="211" customWidth="1"/>
    <col min="4114" max="4114" width="23.28515625" style="211" customWidth="1"/>
    <col min="4115" max="4352" width="9.140625" style="211"/>
    <col min="4353" max="4353" width="10.28515625" style="211" customWidth="1"/>
    <col min="4354" max="4354" width="56.7109375" style="211" customWidth="1"/>
    <col min="4355" max="4355" width="18.7109375" style="211" customWidth="1"/>
    <col min="4356" max="4356" width="2" style="211" customWidth="1"/>
    <col min="4357" max="4357" width="17.140625" style="211" customWidth="1"/>
    <col min="4358" max="4358" width="1" style="211" customWidth="1"/>
    <col min="4359" max="4359" width="10.42578125" style="211" customWidth="1"/>
    <col min="4360" max="4360" width="11.42578125" style="211" customWidth="1"/>
    <col min="4361" max="4361" width="2.140625" style="211" customWidth="1"/>
    <col min="4362" max="4365" width="9.140625" style="211"/>
    <col min="4366" max="4366" width="69.7109375" style="211" customWidth="1"/>
    <col min="4367" max="4367" width="9.7109375" style="211" bestFit="1" customWidth="1"/>
    <col min="4368" max="4368" width="13.28515625" style="211" customWidth="1"/>
    <col min="4369" max="4369" width="14.42578125" style="211" customWidth="1"/>
    <col min="4370" max="4370" width="23.28515625" style="211" customWidth="1"/>
    <col min="4371" max="4608" width="9.140625" style="211"/>
    <col min="4609" max="4609" width="10.28515625" style="211" customWidth="1"/>
    <col min="4610" max="4610" width="56.7109375" style="211" customWidth="1"/>
    <col min="4611" max="4611" width="18.7109375" style="211" customWidth="1"/>
    <col min="4612" max="4612" width="2" style="211" customWidth="1"/>
    <col min="4613" max="4613" width="17.140625" style="211" customWidth="1"/>
    <col min="4614" max="4614" width="1" style="211" customWidth="1"/>
    <col min="4615" max="4615" width="10.42578125" style="211" customWidth="1"/>
    <col min="4616" max="4616" width="11.42578125" style="211" customWidth="1"/>
    <col min="4617" max="4617" width="2.140625" style="211" customWidth="1"/>
    <col min="4618" max="4621" width="9.140625" style="211"/>
    <col min="4622" max="4622" width="69.7109375" style="211" customWidth="1"/>
    <col min="4623" max="4623" width="9.7109375" style="211" bestFit="1" customWidth="1"/>
    <col min="4624" max="4624" width="13.28515625" style="211" customWidth="1"/>
    <col min="4625" max="4625" width="14.42578125" style="211" customWidth="1"/>
    <col min="4626" max="4626" width="23.28515625" style="211" customWidth="1"/>
    <col min="4627" max="4864" width="9.140625" style="211"/>
    <col min="4865" max="4865" width="10.28515625" style="211" customWidth="1"/>
    <col min="4866" max="4866" width="56.7109375" style="211" customWidth="1"/>
    <col min="4867" max="4867" width="18.7109375" style="211" customWidth="1"/>
    <col min="4868" max="4868" width="2" style="211" customWidth="1"/>
    <col min="4869" max="4869" width="17.140625" style="211" customWidth="1"/>
    <col min="4870" max="4870" width="1" style="211" customWidth="1"/>
    <col min="4871" max="4871" width="10.42578125" style="211" customWidth="1"/>
    <col min="4872" max="4872" width="11.42578125" style="211" customWidth="1"/>
    <col min="4873" max="4873" width="2.140625" style="211" customWidth="1"/>
    <col min="4874" max="4877" width="9.140625" style="211"/>
    <col min="4878" max="4878" width="69.7109375" style="211" customWidth="1"/>
    <col min="4879" max="4879" width="9.7109375" style="211" bestFit="1" customWidth="1"/>
    <col min="4880" max="4880" width="13.28515625" style="211" customWidth="1"/>
    <col min="4881" max="4881" width="14.42578125" style="211" customWidth="1"/>
    <col min="4882" max="4882" width="23.28515625" style="211" customWidth="1"/>
    <col min="4883" max="5120" width="9.140625" style="211"/>
    <col min="5121" max="5121" width="10.28515625" style="211" customWidth="1"/>
    <col min="5122" max="5122" width="56.7109375" style="211" customWidth="1"/>
    <col min="5123" max="5123" width="18.7109375" style="211" customWidth="1"/>
    <col min="5124" max="5124" width="2" style="211" customWidth="1"/>
    <col min="5125" max="5125" width="17.140625" style="211" customWidth="1"/>
    <col min="5126" max="5126" width="1" style="211" customWidth="1"/>
    <col min="5127" max="5127" width="10.42578125" style="211" customWidth="1"/>
    <col min="5128" max="5128" width="11.42578125" style="211" customWidth="1"/>
    <col min="5129" max="5129" width="2.140625" style="211" customWidth="1"/>
    <col min="5130" max="5133" width="9.140625" style="211"/>
    <col min="5134" max="5134" width="69.7109375" style="211" customWidth="1"/>
    <col min="5135" max="5135" width="9.7109375" style="211" bestFit="1" customWidth="1"/>
    <col min="5136" max="5136" width="13.28515625" style="211" customWidth="1"/>
    <col min="5137" max="5137" width="14.42578125" style="211" customWidth="1"/>
    <col min="5138" max="5138" width="23.28515625" style="211" customWidth="1"/>
    <col min="5139" max="5376" width="9.140625" style="211"/>
    <col min="5377" max="5377" width="10.28515625" style="211" customWidth="1"/>
    <col min="5378" max="5378" width="56.7109375" style="211" customWidth="1"/>
    <col min="5379" max="5379" width="18.7109375" style="211" customWidth="1"/>
    <col min="5380" max="5380" width="2" style="211" customWidth="1"/>
    <col min="5381" max="5381" width="17.140625" style="211" customWidth="1"/>
    <col min="5382" max="5382" width="1" style="211" customWidth="1"/>
    <col min="5383" max="5383" width="10.42578125" style="211" customWidth="1"/>
    <col min="5384" max="5384" width="11.42578125" style="211" customWidth="1"/>
    <col min="5385" max="5385" width="2.140625" style="211" customWidth="1"/>
    <col min="5386" max="5389" width="9.140625" style="211"/>
    <col min="5390" max="5390" width="69.7109375" style="211" customWidth="1"/>
    <col min="5391" max="5391" width="9.7109375" style="211" bestFit="1" customWidth="1"/>
    <col min="5392" max="5392" width="13.28515625" style="211" customWidth="1"/>
    <col min="5393" max="5393" width="14.42578125" style="211" customWidth="1"/>
    <col min="5394" max="5394" width="23.28515625" style="211" customWidth="1"/>
    <col min="5395" max="5632" width="9.140625" style="211"/>
    <col min="5633" max="5633" width="10.28515625" style="211" customWidth="1"/>
    <col min="5634" max="5634" width="56.7109375" style="211" customWidth="1"/>
    <col min="5635" max="5635" width="18.7109375" style="211" customWidth="1"/>
    <col min="5636" max="5636" width="2" style="211" customWidth="1"/>
    <col min="5637" max="5637" width="17.140625" style="211" customWidth="1"/>
    <col min="5638" max="5638" width="1" style="211" customWidth="1"/>
    <col min="5639" max="5639" width="10.42578125" style="211" customWidth="1"/>
    <col min="5640" max="5640" width="11.42578125" style="211" customWidth="1"/>
    <col min="5641" max="5641" width="2.140625" style="211" customWidth="1"/>
    <col min="5642" max="5645" width="9.140625" style="211"/>
    <col min="5646" max="5646" width="69.7109375" style="211" customWidth="1"/>
    <col min="5647" max="5647" width="9.7109375" style="211" bestFit="1" customWidth="1"/>
    <col min="5648" max="5648" width="13.28515625" style="211" customWidth="1"/>
    <col min="5649" max="5649" width="14.42578125" style="211" customWidth="1"/>
    <col min="5650" max="5650" width="23.28515625" style="211" customWidth="1"/>
    <col min="5651" max="5888" width="9.140625" style="211"/>
    <col min="5889" max="5889" width="10.28515625" style="211" customWidth="1"/>
    <col min="5890" max="5890" width="56.7109375" style="211" customWidth="1"/>
    <col min="5891" max="5891" width="18.7109375" style="211" customWidth="1"/>
    <col min="5892" max="5892" width="2" style="211" customWidth="1"/>
    <col min="5893" max="5893" width="17.140625" style="211" customWidth="1"/>
    <col min="5894" max="5894" width="1" style="211" customWidth="1"/>
    <col min="5895" max="5895" width="10.42578125" style="211" customWidth="1"/>
    <col min="5896" max="5896" width="11.42578125" style="211" customWidth="1"/>
    <col min="5897" max="5897" width="2.140625" style="211" customWidth="1"/>
    <col min="5898" max="5901" width="9.140625" style="211"/>
    <col min="5902" max="5902" width="69.7109375" style="211" customWidth="1"/>
    <col min="5903" max="5903" width="9.7109375" style="211" bestFit="1" customWidth="1"/>
    <col min="5904" max="5904" width="13.28515625" style="211" customWidth="1"/>
    <col min="5905" max="5905" width="14.42578125" style="211" customWidth="1"/>
    <col min="5906" max="5906" width="23.28515625" style="211" customWidth="1"/>
    <col min="5907" max="6144" width="9.140625" style="211"/>
    <col min="6145" max="6145" width="10.28515625" style="211" customWidth="1"/>
    <col min="6146" max="6146" width="56.7109375" style="211" customWidth="1"/>
    <col min="6147" max="6147" width="18.7109375" style="211" customWidth="1"/>
    <col min="6148" max="6148" width="2" style="211" customWidth="1"/>
    <col min="6149" max="6149" width="17.140625" style="211" customWidth="1"/>
    <col min="6150" max="6150" width="1" style="211" customWidth="1"/>
    <col min="6151" max="6151" width="10.42578125" style="211" customWidth="1"/>
    <col min="6152" max="6152" width="11.42578125" style="211" customWidth="1"/>
    <col min="6153" max="6153" width="2.140625" style="211" customWidth="1"/>
    <col min="6154" max="6157" width="9.140625" style="211"/>
    <col min="6158" max="6158" width="69.7109375" style="211" customWidth="1"/>
    <col min="6159" max="6159" width="9.7109375" style="211" bestFit="1" customWidth="1"/>
    <col min="6160" max="6160" width="13.28515625" style="211" customWidth="1"/>
    <col min="6161" max="6161" width="14.42578125" style="211" customWidth="1"/>
    <col min="6162" max="6162" width="23.28515625" style="211" customWidth="1"/>
    <col min="6163" max="6400" width="9.140625" style="211"/>
    <col min="6401" max="6401" width="10.28515625" style="211" customWidth="1"/>
    <col min="6402" max="6402" width="56.7109375" style="211" customWidth="1"/>
    <col min="6403" max="6403" width="18.7109375" style="211" customWidth="1"/>
    <col min="6404" max="6404" width="2" style="211" customWidth="1"/>
    <col min="6405" max="6405" width="17.140625" style="211" customWidth="1"/>
    <col min="6406" max="6406" width="1" style="211" customWidth="1"/>
    <col min="6407" max="6407" width="10.42578125" style="211" customWidth="1"/>
    <col min="6408" max="6408" width="11.42578125" style="211" customWidth="1"/>
    <col min="6409" max="6409" width="2.140625" style="211" customWidth="1"/>
    <col min="6410" max="6413" width="9.140625" style="211"/>
    <col min="6414" max="6414" width="69.7109375" style="211" customWidth="1"/>
    <col min="6415" max="6415" width="9.7109375" style="211" bestFit="1" customWidth="1"/>
    <col min="6416" max="6416" width="13.28515625" style="211" customWidth="1"/>
    <col min="6417" max="6417" width="14.42578125" style="211" customWidth="1"/>
    <col min="6418" max="6418" width="23.28515625" style="211" customWidth="1"/>
    <col min="6419" max="6656" width="9.140625" style="211"/>
    <col min="6657" max="6657" width="10.28515625" style="211" customWidth="1"/>
    <col min="6658" max="6658" width="56.7109375" style="211" customWidth="1"/>
    <col min="6659" max="6659" width="18.7109375" style="211" customWidth="1"/>
    <col min="6660" max="6660" width="2" style="211" customWidth="1"/>
    <col min="6661" max="6661" width="17.140625" style="211" customWidth="1"/>
    <col min="6662" max="6662" width="1" style="211" customWidth="1"/>
    <col min="6663" max="6663" width="10.42578125" style="211" customWidth="1"/>
    <col min="6664" max="6664" width="11.42578125" style="211" customWidth="1"/>
    <col min="6665" max="6665" width="2.140625" style="211" customWidth="1"/>
    <col min="6666" max="6669" width="9.140625" style="211"/>
    <col min="6670" max="6670" width="69.7109375" style="211" customWidth="1"/>
    <col min="6671" max="6671" width="9.7109375" style="211" bestFit="1" customWidth="1"/>
    <col min="6672" max="6672" width="13.28515625" style="211" customWidth="1"/>
    <col min="6673" max="6673" width="14.42578125" style="211" customWidth="1"/>
    <col min="6674" max="6674" width="23.28515625" style="211" customWidth="1"/>
    <col min="6675" max="6912" width="9.140625" style="211"/>
    <col min="6913" max="6913" width="10.28515625" style="211" customWidth="1"/>
    <col min="6914" max="6914" width="56.7109375" style="211" customWidth="1"/>
    <col min="6915" max="6915" width="18.7109375" style="211" customWidth="1"/>
    <col min="6916" max="6916" width="2" style="211" customWidth="1"/>
    <col min="6917" max="6917" width="17.140625" style="211" customWidth="1"/>
    <col min="6918" max="6918" width="1" style="211" customWidth="1"/>
    <col min="6919" max="6919" width="10.42578125" style="211" customWidth="1"/>
    <col min="6920" max="6920" width="11.42578125" style="211" customWidth="1"/>
    <col min="6921" max="6921" width="2.140625" style="211" customWidth="1"/>
    <col min="6922" max="6925" width="9.140625" style="211"/>
    <col min="6926" max="6926" width="69.7109375" style="211" customWidth="1"/>
    <col min="6927" max="6927" width="9.7109375" style="211" bestFit="1" customWidth="1"/>
    <col min="6928" max="6928" width="13.28515625" style="211" customWidth="1"/>
    <col min="6929" max="6929" width="14.42578125" style="211" customWidth="1"/>
    <col min="6930" max="6930" width="23.28515625" style="211" customWidth="1"/>
    <col min="6931" max="7168" width="9.140625" style="211"/>
    <col min="7169" max="7169" width="10.28515625" style="211" customWidth="1"/>
    <col min="7170" max="7170" width="56.7109375" style="211" customWidth="1"/>
    <col min="7171" max="7171" width="18.7109375" style="211" customWidth="1"/>
    <col min="7172" max="7172" width="2" style="211" customWidth="1"/>
    <col min="7173" max="7173" width="17.140625" style="211" customWidth="1"/>
    <col min="7174" max="7174" width="1" style="211" customWidth="1"/>
    <col min="7175" max="7175" width="10.42578125" style="211" customWidth="1"/>
    <col min="7176" max="7176" width="11.42578125" style="211" customWidth="1"/>
    <col min="7177" max="7177" width="2.140625" style="211" customWidth="1"/>
    <col min="7178" max="7181" width="9.140625" style="211"/>
    <col min="7182" max="7182" width="69.7109375" style="211" customWidth="1"/>
    <col min="7183" max="7183" width="9.7109375" style="211" bestFit="1" customWidth="1"/>
    <col min="7184" max="7184" width="13.28515625" style="211" customWidth="1"/>
    <col min="7185" max="7185" width="14.42578125" style="211" customWidth="1"/>
    <col min="7186" max="7186" width="23.28515625" style="211" customWidth="1"/>
    <col min="7187" max="7424" width="9.140625" style="211"/>
    <col min="7425" max="7425" width="10.28515625" style="211" customWidth="1"/>
    <col min="7426" max="7426" width="56.7109375" style="211" customWidth="1"/>
    <col min="7427" max="7427" width="18.7109375" style="211" customWidth="1"/>
    <col min="7428" max="7428" width="2" style="211" customWidth="1"/>
    <col min="7429" max="7429" width="17.140625" style="211" customWidth="1"/>
    <col min="7430" max="7430" width="1" style="211" customWidth="1"/>
    <col min="7431" max="7431" width="10.42578125" style="211" customWidth="1"/>
    <col min="7432" max="7432" width="11.42578125" style="211" customWidth="1"/>
    <col min="7433" max="7433" width="2.140625" style="211" customWidth="1"/>
    <col min="7434" max="7437" width="9.140625" style="211"/>
    <col min="7438" max="7438" width="69.7109375" style="211" customWidth="1"/>
    <col min="7439" max="7439" width="9.7109375" style="211" bestFit="1" customWidth="1"/>
    <col min="7440" max="7440" width="13.28515625" style="211" customWidth="1"/>
    <col min="7441" max="7441" width="14.42578125" style="211" customWidth="1"/>
    <col min="7442" max="7442" width="23.28515625" style="211" customWidth="1"/>
    <col min="7443" max="7680" width="9.140625" style="211"/>
    <col min="7681" max="7681" width="10.28515625" style="211" customWidth="1"/>
    <col min="7682" max="7682" width="56.7109375" style="211" customWidth="1"/>
    <col min="7683" max="7683" width="18.7109375" style="211" customWidth="1"/>
    <col min="7684" max="7684" width="2" style="211" customWidth="1"/>
    <col min="7685" max="7685" width="17.140625" style="211" customWidth="1"/>
    <col min="7686" max="7686" width="1" style="211" customWidth="1"/>
    <col min="7687" max="7687" width="10.42578125" style="211" customWidth="1"/>
    <col min="7688" max="7688" width="11.42578125" style="211" customWidth="1"/>
    <col min="7689" max="7689" width="2.140625" style="211" customWidth="1"/>
    <col min="7690" max="7693" width="9.140625" style="211"/>
    <col min="7694" max="7694" width="69.7109375" style="211" customWidth="1"/>
    <col min="7695" max="7695" width="9.7109375" style="211" bestFit="1" customWidth="1"/>
    <col min="7696" max="7696" width="13.28515625" style="211" customWidth="1"/>
    <col min="7697" max="7697" width="14.42578125" style="211" customWidth="1"/>
    <col min="7698" max="7698" width="23.28515625" style="211" customWidth="1"/>
    <col min="7699" max="7936" width="9.140625" style="211"/>
    <col min="7937" max="7937" width="10.28515625" style="211" customWidth="1"/>
    <col min="7938" max="7938" width="56.7109375" style="211" customWidth="1"/>
    <col min="7939" max="7939" width="18.7109375" style="211" customWidth="1"/>
    <col min="7940" max="7940" width="2" style="211" customWidth="1"/>
    <col min="7941" max="7941" width="17.140625" style="211" customWidth="1"/>
    <col min="7942" max="7942" width="1" style="211" customWidth="1"/>
    <col min="7943" max="7943" width="10.42578125" style="211" customWidth="1"/>
    <col min="7944" max="7944" width="11.42578125" style="211" customWidth="1"/>
    <col min="7945" max="7945" width="2.140625" style="211" customWidth="1"/>
    <col min="7946" max="7949" width="9.140625" style="211"/>
    <col min="7950" max="7950" width="69.7109375" style="211" customWidth="1"/>
    <col min="7951" max="7951" width="9.7109375" style="211" bestFit="1" customWidth="1"/>
    <col min="7952" max="7952" width="13.28515625" style="211" customWidth="1"/>
    <col min="7953" max="7953" width="14.42578125" style="211" customWidth="1"/>
    <col min="7954" max="7954" width="23.28515625" style="211" customWidth="1"/>
    <col min="7955" max="8192" width="9.140625" style="211"/>
    <col min="8193" max="8193" width="10.28515625" style="211" customWidth="1"/>
    <col min="8194" max="8194" width="56.7109375" style="211" customWidth="1"/>
    <col min="8195" max="8195" width="18.7109375" style="211" customWidth="1"/>
    <col min="8196" max="8196" width="2" style="211" customWidth="1"/>
    <col min="8197" max="8197" width="17.140625" style="211" customWidth="1"/>
    <col min="8198" max="8198" width="1" style="211" customWidth="1"/>
    <col min="8199" max="8199" width="10.42578125" style="211" customWidth="1"/>
    <col min="8200" max="8200" width="11.42578125" style="211" customWidth="1"/>
    <col min="8201" max="8201" width="2.140625" style="211" customWidth="1"/>
    <col min="8202" max="8205" width="9.140625" style="211"/>
    <col min="8206" max="8206" width="69.7109375" style="211" customWidth="1"/>
    <col min="8207" max="8207" width="9.7109375" style="211" bestFit="1" customWidth="1"/>
    <col min="8208" max="8208" width="13.28515625" style="211" customWidth="1"/>
    <col min="8209" max="8209" width="14.42578125" style="211" customWidth="1"/>
    <col min="8210" max="8210" width="23.28515625" style="211" customWidth="1"/>
    <col min="8211" max="8448" width="9.140625" style="211"/>
    <col min="8449" max="8449" width="10.28515625" style="211" customWidth="1"/>
    <col min="8450" max="8450" width="56.7109375" style="211" customWidth="1"/>
    <col min="8451" max="8451" width="18.7109375" style="211" customWidth="1"/>
    <col min="8452" max="8452" width="2" style="211" customWidth="1"/>
    <col min="8453" max="8453" width="17.140625" style="211" customWidth="1"/>
    <col min="8454" max="8454" width="1" style="211" customWidth="1"/>
    <col min="8455" max="8455" width="10.42578125" style="211" customWidth="1"/>
    <col min="8456" max="8456" width="11.42578125" style="211" customWidth="1"/>
    <col min="8457" max="8457" width="2.140625" style="211" customWidth="1"/>
    <col min="8458" max="8461" width="9.140625" style="211"/>
    <col min="8462" max="8462" width="69.7109375" style="211" customWidth="1"/>
    <col min="8463" max="8463" width="9.7109375" style="211" bestFit="1" customWidth="1"/>
    <col min="8464" max="8464" width="13.28515625" style="211" customWidth="1"/>
    <col min="8465" max="8465" width="14.42578125" style="211" customWidth="1"/>
    <col min="8466" max="8466" width="23.28515625" style="211" customWidth="1"/>
    <col min="8467" max="8704" width="9.140625" style="211"/>
    <col min="8705" max="8705" width="10.28515625" style="211" customWidth="1"/>
    <col min="8706" max="8706" width="56.7109375" style="211" customWidth="1"/>
    <col min="8707" max="8707" width="18.7109375" style="211" customWidth="1"/>
    <col min="8708" max="8708" width="2" style="211" customWidth="1"/>
    <col min="8709" max="8709" width="17.140625" style="211" customWidth="1"/>
    <col min="8710" max="8710" width="1" style="211" customWidth="1"/>
    <col min="8711" max="8711" width="10.42578125" style="211" customWidth="1"/>
    <col min="8712" max="8712" width="11.42578125" style="211" customWidth="1"/>
    <col min="8713" max="8713" width="2.140625" style="211" customWidth="1"/>
    <col min="8714" max="8717" width="9.140625" style="211"/>
    <col min="8718" max="8718" width="69.7109375" style="211" customWidth="1"/>
    <col min="8719" max="8719" width="9.7109375" style="211" bestFit="1" customWidth="1"/>
    <col min="8720" max="8720" width="13.28515625" style="211" customWidth="1"/>
    <col min="8721" max="8721" width="14.42578125" style="211" customWidth="1"/>
    <col min="8722" max="8722" width="23.28515625" style="211" customWidth="1"/>
    <col min="8723" max="8960" width="9.140625" style="211"/>
    <col min="8961" max="8961" width="10.28515625" style="211" customWidth="1"/>
    <col min="8962" max="8962" width="56.7109375" style="211" customWidth="1"/>
    <col min="8963" max="8963" width="18.7109375" style="211" customWidth="1"/>
    <col min="8964" max="8964" width="2" style="211" customWidth="1"/>
    <col min="8965" max="8965" width="17.140625" style="211" customWidth="1"/>
    <col min="8966" max="8966" width="1" style="211" customWidth="1"/>
    <col min="8967" max="8967" width="10.42578125" style="211" customWidth="1"/>
    <col min="8968" max="8968" width="11.42578125" style="211" customWidth="1"/>
    <col min="8969" max="8969" width="2.140625" style="211" customWidth="1"/>
    <col min="8970" max="8973" width="9.140625" style="211"/>
    <col min="8974" max="8974" width="69.7109375" style="211" customWidth="1"/>
    <col min="8975" max="8975" width="9.7109375" style="211" bestFit="1" customWidth="1"/>
    <col min="8976" max="8976" width="13.28515625" style="211" customWidth="1"/>
    <col min="8977" max="8977" width="14.42578125" style="211" customWidth="1"/>
    <col min="8978" max="8978" width="23.28515625" style="211" customWidth="1"/>
    <col min="8979" max="9216" width="9.140625" style="211"/>
    <col min="9217" max="9217" width="10.28515625" style="211" customWidth="1"/>
    <col min="9218" max="9218" width="56.7109375" style="211" customWidth="1"/>
    <col min="9219" max="9219" width="18.7109375" style="211" customWidth="1"/>
    <col min="9220" max="9220" width="2" style="211" customWidth="1"/>
    <col min="9221" max="9221" width="17.140625" style="211" customWidth="1"/>
    <col min="9222" max="9222" width="1" style="211" customWidth="1"/>
    <col min="9223" max="9223" width="10.42578125" style="211" customWidth="1"/>
    <col min="9224" max="9224" width="11.42578125" style="211" customWidth="1"/>
    <col min="9225" max="9225" width="2.140625" style="211" customWidth="1"/>
    <col min="9226" max="9229" width="9.140625" style="211"/>
    <col min="9230" max="9230" width="69.7109375" style="211" customWidth="1"/>
    <col min="9231" max="9231" width="9.7109375" style="211" bestFit="1" customWidth="1"/>
    <col min="9232" max="9232" width="13.28515625" style="211" customWidth="1"/>
    <col min="9233" max="9233" width="14.42578125" style="211" customWidth="1"/>
    <col min="9234" max="9234" width="23.28515625" style="211" customWidth="1"/>
    <col min="9235" max="9472" width="9.140625" style="211"/>
    <col min="9473" max="9473" width="10.28515625" style="211" customWidth="1"/>
    <col min="9474" max="9474" width="56.7109375" style="211" customWidth="1"/>
    <col min="9475" max="9475" width="18.7109375" style="211" customWidth="1"/>
    <col min="9476" max="9476" width="2" style="211" customWidth="1"/>
    <col min="9477" max="9477" width="17.140625" style="211" customWidth="1"/>
    <col min="9478" max="9478" width="1" style="211" customWidth="1"/>
    <col min="9479" max="9479" width="10.42578125" style="211" customWidth="1"/>
    <col min="9480" max="9480" width="11.42578125" style="211" customWidth="1"/>
    <col min="9481" max="9481" width="2.140625" style="211" customWidth="1"/>
    <col min="9482" max="9485" width="9.140625" style="211"/>
    <col min="9486" max="9486" width="69.7109375" style="211" customWidth="1"/>
    <col min="9487" max="9487" width="9.7109375" style="211" bestFit="1" customWidth="1"/>
    <col min="9488" max="9488" width="13.28515625" style="211" customWidth="1"/>
    <col min="9489" max="9489" width="14.42578125" style="211" customWidth="1"/>
    <col min="9490" max="9490" width="23.28515625" style="211" customWidth="1"/>
    <col min="9491" max="9728" width="9.140625" style="211"/>
    <col min="9729" max="9729" width="10.28515625" style="211" customWidth="1"/>
    <col min="9730" max="9730" width="56.7109375" style="211" customWidth="1"/>
    <col min="9731" max="9731" width="18.7109375" style="211" customWidth="1"/>
    <col min="9732" max="9732" width="2" style="211" customWidth="1"/>
    <col min="9733" max="9733" width="17.140625" style="211" customWidth="1"/>
    <col min="9734" max="9734" width="1" style="211" customWidth="1"/>
    <col min="9735" max="9735" width="10.42578125" style="211" customWidth="1"/>
    <col min="9736" max="9736" width="11.42578125" style="211" customWidth="1"/>
    <col min="9737" max="9737" width="2.140625" style="211" customWidth="1"/>
    <col min="9738" max="9741" width="9.140625" style="211"/>
    <col min="9742" max="9742" width="69.7109375" style="211" customWidth="1"/>
    <col min="9743" max="9743" width="9.7109375" style="211" bestFit="1" customWidth="1"/>
    <col min="9744" max="9744" width="13.28515625" style="211" customWidth="1"/>
    <col min="9745" max="9745" width="14.42578125" style="211" customWidth="1"/>
    <col min="9746" max="9746" width="23.28515625" style="211" customWidth="1"/>
    <col min="9747" max="9984" width="9.140625" style="211"/>
    <col min="9985" max="9985" width="10.28515625" style="211" customWidth="1"/>
    <col min="9986" max="9986" width="56.7109375" style="211" customWidth="1"/>
    <col min="9987" max="9987" width="18.7109375" style="211" customWidth="1"/>
    <col min="9988" max="9988" width="2" style="211" customWidth="1"/>
    <col min="9989" max="9989" width="17.140625" style="211" customWidth="1"/>
    <col min="9990" max="9990" width="1" style="211" customWidth="1"/>
    <col min="9991" max="9991" width="10.42578125" style="211" customWidth="1"/>
    <col min="9992" max="9992" width="11.42578125" style="211" customWidth="1"/>
    <col min="9993" max="9993" width="2.140625" style="211" customWidth="1"/>
    <col min="9994" max="9997" width="9.140625" style="211"/>
    <col min="9998" max="9998" width="69.7109375" style="211" customWidth="1"/>
    <col min="9999" max="9999" width="9.7109375" style="211" bestFit="1" customWidth="1"/>
    <col min="10000" max="10000" width="13.28515625" style="211" customWidth="1"/>
    <col min="10001" max="10001" width="14.42578125" style="211" customWidth="1"/>
    <col min="10002" max="10002" width="23.28515625" style="211" customWidth="1"/>
    <col min="10003" max="10240" width="9.140625" style="211"/>
    <col min="10241" max="10241" width="10.28515625" style="211" customWidth="1"/>
    <col min="10242" max="10242" width="56.7109375" style="211" customWidth="1"/>
    <col min="10243" max="10243" width="18.7109375" style="211" customWidth="1"/>
    <col min="10244" max="10244" width="2" style="211" customWidth="1"/>
    <col min="10245" max="10245" width="17.140625" style="211" customWidth="1"/>
    <col min="10246" max="10246" width="1" style="211" customWidth="1"/>
    <col min="10247" max="10247" width="10.42578125" style="211" customWidth="1"/>
    <col min="10248" max="10248" width="11.42578125" style="211" customWidth="1"/>
    <col min="10249" max="10249" width="2.140625" style="211" customWidth="1"/>
    <col min="10250" max="10253" width="9.140625" style="211"/>
    <col min="10254" max="10254" width="69.7109375" style="211" customWidth="1"/>
    <col min="10255" max="10255" width="9.7109375" style="211" bestFit="1" customWidth="1"/>
    <col min="10256" max="10256" width="13.28515625" style="211" customWidth="1"/>
    <col min="10257" max="10257" width="14.42578125" style="211" customWidth="1"/>
    <col min="10258" max="10258" width="23.28515625" style="211" customWidth="1"/>
    <col min="10259" max="10496" width="9.140625" style="211"/>
    <col min="10497" max="10497" width="10.28515625" style="211" customWidth="1"/>
    <col min="10498" max="10498" width="56.7109375" style="211" customWidth="1"/>
    <col min="10499" max="10499" width="18.7109375" style="211" customWidth="1"/>
    <col min="10500" max="10500" width="2" style="211" customWidth="1"/>
    <col min="10501" max="10501" width="17.140625" style="211" customWidth="1"/>
    <col min="10502" max="10502" width="1" style="211" customWidth="1"/>
    <col min="10503" max="10503" width="10.42578125" style="211" customWidth="1"/>
    <col min="10504" max="10504" width="11.42578125" style="211" customWidth="1"/>
    <col min="10505" max="10505" width="2.140625" style="211" customWidth="1"/>
    <col min="10506" max="10509" width="9.140625" style="211"/>
    <col min="10510" max="10510" width="69.7109375" style="211" customWidth="1"/>
    <col min="10511" max="10511" width="9.7109375" style="211" bestFit="1" customWidth="1"/>
    <col min="10512" max="10512" width="13.28515625" style="211" customWidth="1"/>
    <col min="10513" max="10513" width="14.42578125" style="211" customWidth="1"/>
    <col min="10514" max="10514" width="23.28515625" style="211" customWidth="1"/>
    <col min="10515" max="10752" width="9.140625" style="211"/>
    <col min="10753" max="10753" width="10.28515625" style="211" customWidth="1"/>
    <col min="10754" max="10754" width="56.7109375" style="211" customWidth="1"/>
    <col min="10755" max="10755" width="18.7109375" style="211" customWidth="1"/>
    <col min="10756" max="10756" width="2" style="211" customWidth="1"/>
    <col min="10757" max="10757" width="17.140625" style="211" customWidth="1"/>
    <col min="10758" max="10758" width="1" style="211" customWidth="1"/>
    <col min="10759" max="10759" width="10.42578125" style="211" customWidth="1"/>
    <col min="10760" max="10760" width="11.42578125" style="211" customWidth="1"/>
    <col min="10761" max="10761" width="2.140625" style="211" customWidth="1"/>
    <col min="10762" max="10765" width="9.140625" style="211"/>
    <col min="10766" max="10766" width="69.7109375" style="211" customWidth="1"/>
    <col min="10767" max="10767" width="9.7109375" style="211" bestFit="1" customWidth="1"/>
    <col min="10768" max="10768" width="13.28515625" style="211" customWidth="1"/>
    <col min="10769" max="10769" width="14.42578125" style="211" customWidth="1"/>
    <col min="10770" max="10770" width="23.28515625" style="211" customWidth="1"/>
    <col min="10771" max="11008" width="9.140625" style="211"/>
    <col min="11009" max="11009" width="10.28515625" style="211" customWidth="1"/>
    <col min="11010" max="11010" width="56.7109375" style="211" customWidth="1"/>
    <col min="11011" max="11011" width="18.7109375" style="211" customWidth="1"/>
    <col min="11012" max="11012" width="2" style="211" customWidth="1"/>
    <col min="11013" max="11013" width="17.140625" style="211" customWidth="1"/>
    <col min="11014" max="11014" width="1" style="211" customWidth="1"/>
    <col min="11015" max="11015" width="10.42578125" style="211" customWidth="1"/>
    <col min="11016" max="11016" width="11.42578125" style="211" customWidth="1"/>
    <col min="11017" max="11017" width="2.140625" style="211" customWidth="1"/>
    <col min="11018" max="11021" width="9.140625" style="211"/>
    <col min="11022" max="11022" width="69.7109375" style="211" customWidth="1"/>
    <col min="11023" max="11023" width="9.7109375" style="211" bestFit="1" customWidth="1"/>
    <col min="11024" max="11024" width="13.28515625" style="211" customWidth="1"/>
    <col min="11025" max="11025" width="14.42578125" style="211" customWidth="1"/>
    <col min="11026" max="11026" width="23.28515625" style="211" customWidth="1"/>
    <col min="11027" max="11264" width="9.140625" style="211"/>
    <col min="11265" max="11265" width="10.28515625" style="211" customWidth="1"/>
    <col min="11266" max="11266" width="56.7109375" style="211" customWidth="1"/>
    <col min="11267" max="11267" width="18.7109375" style="211" customWidth="1"/>
    <col min="11268" max="11268" width="2" style="211" customWidth="1"/>
    <col min="11269" max="11269" width="17.140625" style="211" customWidth="1"/>
    <col min="11270" max="11270" width="1" style="211" customWidth="1"/>
    <col min="11271" max="11271" width="10.42578125" style="211" customWidth="1"/>
    <col min="11272" max="11272" width="11.42578125" style="211" customWidth="1"/>
    <col min="11273" max="11273" width="2.140625" style="211" customWidth="1"/>
    <col min="11274" max="11277" width="9.140625" style="211"/>
    <col min="11278" max="11278" width="69.7109375" style="211" customWidth="1"/>
    <col min="11279" max="11279" width="9.7109375" style="211" bestFit="1" customWidth="1"/>
    <col min="11280" max="11280" width="13.28515625" style="211" customWidth="1"/>
    <col min="11281" max="11281" width="14.42578125" style="211" customWidth="1"/>
    <col min="11282" max="11282" width="23.28515625" style="211" customWidth="1"/>
    <col min="11283" max="11520" width="9.140625" style="211"/>
    <col min="11521" max="11521" width="10.28515625" style="211" customWidth="1"/>
    <col min="11522" max="11522" width="56.7109375" style="211" customWidth="1"/>
    <col min="11523" max="11523" width="18.7109375" style="211" customWidth="1"/>
    <col min="11524" max="11524" width="2" style="211" customWidth="1"/>
    <col min="11525" max="11525" width="17.140625" style="211" customWidth="1"/>
    <col min="11526" max="11526" width="1" style="211" customWidth="1"/>
    <col min="11527" max="11527" width="10.42578125" style="211" customWidth="1"/>
    <col min="11528" max="11528" width="11.42578125" style="211" customWidth="1"/>
    <col min="11529" max="11529" width="2.140625" style="211" customWidth="1"/>
    <col min="11530" max="11533" width="9.140625" style="211"/>
    <col min="11534" max="11534" width="69.7109375" style="211" customWidth="1"/>
    <col min="11535" max="11535" width="9.7109375" style="211" bestFit="1" customWidth="1"/>
    <col min="11536" max="11536" width="13.28515625" style="211" customWidth="1"/>
    <col min="11537" max="11537" width="14.42578125" style="211" customWidth="1"/>
    <col min="11538" max="11538" width="23.28515625" style="211" customWidth="1"/>
    <col min="11539" max="11776" width="9.140625" style="211"/>
    <col min="11777" max="11777" width="10.28515625" style="211" customWidth="1"/>
    <col min="11778" max="11778" width="56.7109375" style="211" customWidth="1"/>
    <col min="11779" max="11779" width="18.7109375" style="211" customWidth="1"/>
    <col min="11780" max="11780" width="2" style="211" customWidth="1"/>
    <col min="11781" max="11781" width="17.140625" style="211" customWidth="1"/>
    <col min="11782" max="11782" width="1" style="211" customWidth="1"/>
    <col min="11783" max="11783" width="10.42578125" style="211" customWidth="1"/>
    <col min="11784" max="11784" width="11.42578125" style="211" customWidth="1"/>
    <col min="11785" max="11785" width="2.140625" style="211" customWidth="1"/>
    <col min="11786" max="11789" width="9.140625" style="211"/>
    <col min="11790" max="11790" width="69.7109375" style="211" customWidth="1"/>
    <col min="11791" max="11791" width="9.7109375" style="211" bestFit="1" customWidth="1"/>
    <col min="11792" max="11792" width="13.28515625" style="211" customWidth="1"/>
    <col min="11793" max="11793" width="14.42578125" style="211" customWidth="1"/>
    <col min="11794" max="11794" width="23.28515625" style="211" customWidth="1"/>
    <col min="11795" max="12032" width="9.140625" style="211"/>
    <col min="12033" max="12033" width="10.28515625" style="211" customWidth="1"/>
    <col min="12034" max="12034" width="56.7109375" style="211" customWidth="1"/>
    <col min="12035" max="12035" width="18.7109375" style="211" customWidth="1"/>
    <col min="12036" max="12036" width="2" style="211" customWidth="1"/>
    <col min="12037" max="12037" width="17.140625" style="211" customWidth="1"/>
    <col min="12038" max="12038" width="1" style="211" customWidth="1"/>
    <col min="12039" max="12039" width="10.42578125" style="211" customWidth="1"/>
    <col min="12040" max="12040" width="11.42578125" style="211" customWidth="1"/>
    <col min="12041" max="12041" width="2.140625" style="211" customWidth="1"/>
    <col min="12042" max="12045" width="9.140625" style="211"/>
    <col min="12046" max="12046" width="69.7109375" style="211" customWidth="1"/>
    <col min="12047" max="12047" width="9.7109375" style="211" bestFit="1" customWidth="1"/>
    <col min="12048" max="12048" width="13.28515625" style="211" customWidth="1"/>
    <col min="12049" max="12049" width="14.42578125" style="211" customWidth="1"/>
    <col min="12050" max="12050" width="23.28515625" style="211" customWidth="1"/>
    <col min="12051" max="12288" width="9.140625" style="211"/>
    <col min="12289" max="12289" width="10.28515625" style="211" customWidth="1"/>
    <col min="12290" max="12290" width="56.7109375" style="211" customWidth="1"/>
    <col min="12291" max="12291" width="18.7109375" style="211" customWidth="1"/>
    <col min="12292" max="12292" width="2" style="211" customWidth="1"/>
    <col min="12293" max="12293" width="17.140625" style="211" customWidth="1"/>
    <col min="12294" max="12294" width="1" style="211" customWidth="1"/>
    <col min="12295" max="12295" width="10.42578125" style="211" customWidth="1"/>
    <col min="12296" max="12296" width="11.42578125" style="211" customWidth="1"/>
    <col min="12297" max="12297" width="2.140625" style="211" customWidth="1"/>
    <col min="12298" max="12301" width="9.140625" style="211"/>
    <col min="12302" max="12302" width="69.7109375" style="211" customWidth="1"/>
    <col min="12303" max="12303" width="9.7109375" style="211" bestFit="1" customWidth="1"/>
    <col min="12304" max="12304" width="13.28515625" style="211" customWidth="1"/>
    <col min="12305" max="12305" width="14.42578125" style="211" customWidth="1"/>
    <col min="12306" max="12306" width="23.28515625" style="211" customWidth="1"/>
    <col min="12307" max="12544" width="9.140625" style="211"/>
    <col min="12545" max="12545" width="10.28515625" style="211" customWidth="1"/>
    <col min="12546" max="12546" width="56.7109375" style="211" customWidth="1"/>
    <col min="12547" max="12547" width="18.7109375" style="211" customWidth="1"/>
    <col min="12548" max="12548" width="2" style="211" customWidth="1"/>
    <col min="12549" max="12549" width="17.140625" style="211" customWidth="1"/>
    <col min="12550" max="12550" width="1" style="211" customWidth="1"/>
    <col min="12551" max="12551" width="10.42578125" style="211" customWidth="1"/>
    <col min="12552" max="12552" width="11.42578125" style="211" customWidth="1"/>
    <col min="12553" max="12553" width="2.140625" style="211" customWidth="1"/>
    <col min="12554" max="12557" width="9.140625" style="211"/>
    <col min="12558" max="12558" width="69.7109375" style="211" customWidth="1"/>
    <col min="12559" max="12559" width="9.7109375" style="211" bestFit="1" customWidth="1"/>
    <col min="12560" max="12560" width="13.28515625" style="211" customWidth="1"/>
    <col min="12561" max="12561" width="14.42578125" style="211" customWidth="1"/>
    <col min="12562" max="12562" width="23.28515625" style="211" customWidth="1"/>
    <col min="12563" max="12800" width="9.140625" style="211"/>
    <col min="12801" max="12801" width="10.28515625" style="211" customWidth="1"/>
    <col min="12802" max="12802" width="56.7109375" style="211" customWidth="1"/>
    <col min="12803" max="12803" width="18.7109375" style="211" customWidth="1"/>
    <col min="12804" max="12804" width="2" style="211" customWidth="1"/>
    <col min="12805" max="12805" width="17.140625" style="211" customWidth="1"/>
    <col min="12806" max="12806" width="1" style="211" customWidth="1"/>
    <col min="12807" max="12807" width="10.42578125" style="211" customWidth="1"/>
    <col min="12808" max="12808" width="11.42578125" style="211" customWidth="1"/>
    <col min="12809" max="12809" width="2.140625" style="211" customWidth="1"/>
    <col min="12810" max="12813" width="9.140625" style="211"/>
    <col min="12814" max="12814" width="69.7109375" style="211" customWidth="1"/>
    <col min="12815" max="12815" width="9.7109375" style="211" bestFit="1" customWidth="1"/>
    <col min="12816" max="12816" width="13.28515625" style="211" customWidth="1"/>
    <col min="12817" max="12817" width="14.42578125" style="211" customWidth="1"/>
    <col min="12818" max="12818" width="23.28515625" style="211" customWidth="1"/>
    <col min="12819" max="13056" width="9.140625" style="211"/>
    <col min="13057" max="13057" width="10.28515625" style="211" customWidth="1"/>
    <col min="13058" max="13058" width="56.7109375" style="211" customWidth="1"/>
    <col min="13059" max="13059" width="18.7109375" style="211" customWidth="1"/>
    <col min="13060" max="13060" width="2" style="211" customWidth="1"/>
    <col min="13061" max="13061" width="17.140625" style="211" customWidth="1"/>
    <col min="13062" max="13062" width="1" style="211" customWidth="1"/>
    <col min="13063" max="13063" width="10.42578125" style="211" customWidth="1"/>
    <col min="13064" max="13064" width="11.42578125" style="211" customWidth="1"/>
    <col min="13065" max="13065" width="2.140625" style="211" customWidth="1"/>
    <col min="13066" max="13069" width="9.140625" style="211"/>
    <col min="13070" max="13070" width="69.7109375" style="211" customWidth="1"/>
    <col min="13071" max="13071" width="9.7109375" style="211" bestFit="1" customWidth="1"/>
    <col min="13072" max="13072" width="13.28515625" style="211" customWidth="1"/>
    <col min="13073" max="13073" width="14.42578125" style="211" customWidth="1"/>
    <col min="13074" max="13074" width="23.28515625" style="211" customWidth="1"/>
    <col min="13075" max="13312" width="9.140625" style="211"/>
    <col min="13313" max="13313" width="10.28515625" style="211" customWidth="1"/>
    <col min="13314" max="13314" width="56.7109375" style="211" customWidth="1"/>
    <col min="13315" max="13315" width="18.7109375" style="211" customWidth="1"/>
    <col min="13316" max="13316" width="2" style="211" customWidth="1"/>
    <col min="13317" max="13317" width="17.140625" style="211" customWidth="1"/>
    <col min="13318" max="13318" width="1" style="211" customWidth="1"/>
    <col min="13319" max="13319" width="10.42578125" style="211" customWidth="1"/>
    <col min="13320" max="13320" width="11.42578125" style="211" customWidth="1"/>
    <col min="13321" max="13321" width="2.140625" style="211" customWidth="1"/>
    <col min="13322" max="13325" width="9.140625" style="211"/>
    <col min="13326" max="13326" width="69.7109375" style="211" customWidth="1"/>
    <col min="13327" max="13327" width="9.7109375" style="211" bestFit="1" customWidth="1"/>
    <col min="13328" max="13328" width="13.28515625" style="211" customWidth="1"/>
    <col min="13329" max="13329" width="14.42578125" style="211" customWidth="1"/>
    <col min="13330" max="13330" width="23.28515625" style="211" customWidth="1"/>
    <col min="13331" max="13568" width="9.140625" style="211"/>
    <col min="13569" max="13569" width="10.28515625" style="211" customWidth="1"/>
    <col min="13570" max="13570" width="56.7109375" style="211" customWidth="1"/>
    <col min="13571" max="13571" width="18.7109375" style="211" customWidth="1"/>
    <col min="13572" max="13572" width="2" style="211" customWidth="1"/>
    <col min="13573" max="13573" width="17.140625" style="211" customWidth="1"/>
    <col min="13574" max="13574" width="1" style="211" customWidth="1"/>
    <col min="13575" max="13575" width="10.42578125" style="211" customWidth="1"/>
    <col min="13576" max="13576" width="11.42578125" style="211" customWidth="1"/>
    <col min="13577" max="13577" width="2.140625" style="211" customWidth="1"/>
    <col min="13578" max="13581" width="9.140625" style="211"/>
    <col min="13582" max="13582" width="69.7109375" style="211" customWidth="1"/>
    <col min="13583" max="13583" width="9.7109375" style="211" bestFit="1" customWidth="1"/>
    <col min="13584" max="13584" width="13.28515625" style="211" customWidth="1"/>
    <col min="13585" max="13585" width="14.42578125" style="211" customWidth="1"/>
    <col min="13586" max="13586" width="23.28515625" style="211" customWidth="1"/>
    <col min="13587" max="13824" width="9.140625" style="211"/>
    <col min="13825" max="13825" width="10.28515625" style="211" customWidth="1"/>
    <col min="13826" max="13826" width="56.7109375" style="211" customWidth="1"/>
    <col min="13827" max="13827" width="18.7109375" style="211" customWidth="1"/>
    <col min="13828" max="13828" width="2" style="211" customWidth="1"/>
    <col min="13829" max="13829" width="17.140625" style="211" customWidth="1"/>
    <col min="13830" max="13830" width="1" style="211" customWidth="1"/>
    <col min="13831" max="13831" width="10.42578125" style="211" customWidth="1"/>
    <col min="13832" max="13832" width="11.42578125" style="211" customWidth="1"/>
    <col min="13833" max="13833" width="2.140625" style="211" customWidth="1"/>
    <col min="13834" max="13837" width="9.140625" style="211"/>
    <col min="13838" max="13838" width="69.7109375" style="211" customWidth="1"/>
    <col min="13839" max="13839" width="9.7109375" style="211" bestFit="1" customWidth="1"/>
    <col min="13840" max="13840" width="13.28515625" style="211" customWidth="1"/>
    <col min="13841" max="13841" width="14.42578125" style="211" customWidth="1"/>
    <col min="13842" max="13842" width="23.28515625" style="211" customWidth="1"/>
    <col min="13843" max="14080" width="9.140625" style="211"/>
    <col min="14081" max="14081" width="10.28515625" style="211" customWidth="1"/>
    <col min="14082" max="14082" width="56.7109375" style="211" customWidth="1"/>
    <col min="14083" max="14083" width="18.7109375" style="211" customWidth="1"/>
    <col min="14084" max="14084" width="2" style="211" customWidth="1"/>
    <col min="14085" max="14085" width="17.140625" style="211" customWidth="1"/>
    <col min="14086" max="14086" width="1" style="211" customWidth="1"/>
    <col min="14087" max="14087" width="10.42578125" style="211" customWidth="1"/>
    <col min="14088" max="14088" width="11.42578125" style="211" customWidth="1"/>
    <col min="14089" max="14089" width="2.140625" style="211" customWidth="1"/>
    <col min="14090" max="14093" width="9.140625" style="211"/>
    <col min="14094" max="14094" width="69.7109375" style="211" customWidth="1"/>
    <col min="14095" max="14095" width="9.7109375" style="211" bestFit="1" customWidth="1"/>
    <col min="14096" max="14096" width="13.28515625" style="211" customWidth="1"/>
    <col min="14097" max="14097" width="14.42578125" style="211" customWidth="1"/>
    <col min="14098" max="14098" width="23.28515625" style="211" customWidth="1"/>
    <col min="14099" max="14336" width="9.140625" style="211"/>
    <col min="14337" max="14337" width="10.28515625" style="211" customWidth="1"/>
    <col min="14338" max="14338" width="56.7109375" style="211" customWidth="1"/>
    <col min="14339" max="14339" width="18.7109375" style="211" customWidth="1"/>
    <col min="14340" max="14340" width="2" style="211" customWidth="1"/>
    <col min="14341" max="14341" width="17.140625" style="211" customWidth="1"/>
    <col min="14342" max="14342" width="1" style="211" customWidth="1"/>
    <col min="14343" max="14343" width="10.42578125" style="211" customWidth="1"/>
    <col min="14344" max="14344" width="11.42578125" style="211" customWidth="1"/>
    <col min="14345" max="14345" width="2.140625" style="211" customWidth="1"/>
    <col min="14346" max="14349" width="9.140625" style="211"/>
    <col min="14350" max="14350" width="69.7109375" style="211" customWidth="1"/>
    <col min="14351" max="14351" width="9.7109375" style="211" bestFit="1" customWidth="1"/>
    <col min="14352" max="14352" width="13.28515625" style="211" customWidth="1"/>
    <col min="14353" max="14353" width="14.42578125" style="211" customWidth="1"/>
    <col min="14354" max="14354" width="23.28515625" style="211" customWidth="1"/>
    <col min="14355" max="14592" width="9.140625" style="211"/>
    <col min="14593" max="14593" width="10.28515625" style="211" customWidth="1"/>
    <col min="14594" max="14594" width="56.7109375" style="211" customWidth="1"/>
    <col min="14595" max="14595" width="18.7109375" style="211" customWidth="1"/>
    <col min="14596" max="14596" width="2" style="211" customWidth="1"/>
    <col min="14597" max="14597" width="17.140625" style="211" customWidth="1"/>
    <col min="14598" max="14598" width="1" style="211" customWidth="1"/>
    <col min="14599" max="14599" width="10.42578125" style="211" customWidth="1"/>
    <col min="14600" max="14600" width="11.42578125" style="211" customWidth="1"/>
    <col min="14601" max="14601" width="2.140625" style="211" customWidth="1"/>
    <col min="14602" max="14605" width="9.140625" style="211"/>
    <col min="14606" max="14606" width="69.7109375" style="211" customWidth="1"/>
    <col min="14607" max="14607" width="9.7109375" style="211" bestFit="1" customWidth="1"/>
    <col min="14608" max="14608" width="13.28515625" style="211" customWidth="1"/>
    <col min="14609" max="14609" width="14.42578125" style="211" customWidth="1"/>
    <col min="14610" max="14610" width="23.28515625" style="211" customWidth="1"/>
    <col min="14611" max="14848" width="9.140625" style="211"/>
    <col min="14849" max="14849" width="10.28515625" style="211" customWidth="1"/>
    <col min="14850" max="14850" width="56.7109375" style="211" customWidth="1"/>
    <col min="14851" max="14851" width="18.7109375" style="211" customWidth="1"/>
    <col min="14852" max="14852" width="2" style="211" customWidth="1"/>
    <col min="14853" max="14853" width="17.140625" style="211" customWidth="1"/>
    <col min="14854" max="14854" width="1" style="211" customWidth="1"/>
    <col min="14855" max="14855" width="10.42578125" style="211" customWidth="1"/>
    <col min="14856" max="14856" width="11.42578125" style="211" customWidth="1"/>
    <col min="14857" max="14857" width="2.140625" style="211" customWidth="1"/>
    <col min="14858" max="14861" width="9.140625" style="211"/>
    <col min="14862" max="14862" width="69.7109375" style="211" customWidth="1"/>
    <col min="14863" max="14863" width="9.7109375" style="211" bestFit="1" customWidth="1"/>
    <col min="14864" max="14864" width="13.28515625" style="211" customWidth="1"/>
    <col min="14865" max="14865" width="14.42578125" style="211" customWidth="1"/>
    <col min="14866" max="14866" width="23.28515625" style="211" customWidth="1"/>
    <col min="14867" max="15104" width="9.140625" style="211"/>
    <col min="15105" max="15105" width="10.28515625" style="211" customWidth="1"/>
    <col min="15106" max="15106" width="56.7109375" style="211" customWidth="1"/>
    <col min="15107" max="15107" width="18.7109375" style="211" customWidth="1"/>
    <col min="15108" max="15108" width="2" style="211" customWidth="1"/>
    <col min="15109" max="15109" width="17.140625" style="211" customWidth="1"/>
    <col min="15110" max="15110" width="1" style="211" customWidth="1"/>
    <col min="15111" max="15111" width="10.42578125" style="211" customWidth="1"/>
    <col min="15112" max="15112" width="11.42578125" style="211" customWidth="1"/>
    <col min="15113" max="15113" width="2.140625" style="211" customWidth="1"/>
    <col min="15114" max="15117" width="9.140625" style="211"/>
    <col min="15118" max="15118" width="69.7109375" style="211" customWidth="1"/>
    <col min="15119" max="15119" width="9.7109375" style="211" bestFit="1" customWidth="1"/>
    <col min="15120" max="15120" width="13.28515625" style="211" customWidth="1"/>
    <col min="15121" max="15121" width="14.42578125" style="211" customWidth="1"/>
    <col min="15122" max="15122" width="23.28515625" style="211" customWidth="1"/>
    <col min="15123" max="15360" width="9.140625" style="211"/>
    <col min="15361" max="15361" width="10.28515625" style="211" customWidth="1"/>
    <col min="15362" max="15362" width="56.7109375" style="211" customWidth="1"/>
    <col min="15363" max="15363" width="18.7109375" style="211" customWidth="1"/>
    <col min="15364" max="15364" width="2" style="211" customWidth="1"/>
    <col min="15365" max="15365" width="17.140625" style="211" customWidth="1"/>
    <col min="15366" max="15366" width="1" style="211" customWidth="1"/>
    <col min="15367" max="15367" width="10.42578125" style="211" customWidth="1"/>
    <col min="15368" max="15368" width="11.42578125" style="211" customWidth="1"/>
    <col min="15369" max="15369" width="2.140625" style="211" customWidth="1"/>
    <col min="15370" max="15373" width="9.140625" style="211"/>
    <col min="15374" max="15374" width="69.7109375" style="211" customWidth="1"/>
    <col min="15375" max="15375" width="9.7109375" style="211" bestFit="1" customWidth="1"/>
    <col min="15376" max="15376" width="13.28515625" style="211" customWidth="1"/>
    <col min="15377" max="15377" width="14.42578125" style="211" customWidth="1"/>
    <col min="15378" max="15378" width="23.28515625" style="211" customWidth="1"/>
    <col min="15379" max="15616" width="9.140625" style="211"/>
    <col min="15617" max="15617" width="10.28515625" style="211" customWidth="1"/>
    <col min="15618" max="15618" width="56.7109375" style="211" customWidth="1"/>
    <col min="15619" max="15619" width="18.7109375" style="211" customWidth="1"/>
    <col min="15620" max="15620" width="2" style="211" customWidth="1"/>
    <col min="15621" max="15621" width="17.140625" style="211" customWidth="1"/>
    <col min="15622" max="15622" width="1" style="211" customWidth="1"/>
    <col min="15623" max="15623" width="10.42578125" style="211" customWidth="1"/>
    <col min="15624" max="15624" width="11.42578125" style="211" customWidth="1"/>
    <col min="15625" max="15625" width="2.140625" style="211" customWidth="1"/>
    <col min="15626" max="15629" width="9.140625" style="211"/>
    <col min="15630" max="15630" width="69.7109375" style="211" customWidth="1"/>
    <col min="15631" max="15631" width="9.7109375" style="211" bestFit="1" customWidth="1"/>
    <col min="15632" max="15632" width="13.28515625" style="211" customWidth="1"/>
    <col min="15633" max="15633" width="14.42578125" style="211" customWidth="1"/>
    <col min="15634" max="15634" width="23.28515625" style="211" customWidth="1"/>
    <col min="15635" max="15872" width="9.140625" style="211"/>
    <col min="15873" max="15873" width="10.28515625" style="211" customWidth="1"/>
    <col min="15874" max="15874" width="56.7109375" style="211" customWidth="1"/>
    <col min="15875" max="15875" width="18.7109375" style="211" customWidth="1"/>
    <col min="15876" max="15876" width="2" style="211" customWidth="1"/>
    <col min="15877" max="15877" width="17.140625" style="211" customWidth="1"/>
    <col min="15878" max="15878" width="1" style="211" customWidth="1"/>
    <col min="15879" max="15879" width="10.42578125" style="211" customWidth="1"/>
    <col min="15880" max="15880" width="11.42578125" style="211" customWidth="1"/>
    <col min="15881" max="15881" width="2.140625" style="211" customWidth="1"/>
    <col min="15882" max="15885" width="9.140625" style="211"/>
    <col min="15886" max="15886" width="69.7109375" style="211" customWidth="1"/>
    <col min="15887" max="15887" width="9.7109375" style="211" bestFit="1" customWidth="1"/>
    <col min="15888" max="15888" width="13.28515625" style="211" customWidth="1"/>
    <col min="15889" max="15889" width="14.42578125" style="211" customWidth="1"/>
    <col min="15890" max="15890" width="23.28515625" style="211" customWidth="1"/>
    <col min="15891" max="16128" width="9.140625" style="211"/>
    <col min="16129" max="16129" width="10.28515625" style="211" customWidth="1"/>
    <col min="16130" max="16130" width="56.7109375" style="211" customWidth="1"/>
    <col min="16131" max="16131" width="18.7109375" style="211" customWidth="1"/>
    <col min="16132" max="16132" width="2" style="211" customWidth="1"/>
    <col min="16133" max="16133" width="17.140625" style="211" customWidth="1"/>
    <col min="16134" max="16134" width="1" style="211" customWidth="1"/>
    <col min="16135" max="16135" width="10.42578125" style="211" customWidth="1"/>
    <col min="16136" max="16136" width="11.42578125" style="211" customWidth="1"/>
    <col min="16137" max="16137" width="2.140625" style="211" customWidth="1"/>
    <col min="16138" max="16141" width="9.140625" style="211"/>
    <col min="16142" max="16142" width="69.7109375" style="211" customWidth="1"/>
    <col min="16143" max="16143" width="9.7109375" style="211" bestFit="1" customWidth="1"/>
    <col min="16144" max="16144" width="13.28515625" style="211" customWidth="1"/>
    <col min="16145" max="16145" width="14.42578125" style="211" customWidth="1"/>
    <col min="16146" max="16146" width="23.28515625" style="211" customWidth="1"/>
    <col min="16147" max="16384" width="9.140625" style="211"/>
  </cols>
  <sheetData>
    <row r="1" spans="1:51" ht="25.5" customHeight="1">
      <c r="A1" s="768" t="s">
        <v>13</v>
      </c>
      <c r="B1" s="769"/>
      <c r="C1" s="769"/>
      <c r="D1" s="769"/>
      <c r="E1" s="769"/>
      <c r="F1" s="208"/>
      <c r="G1" s="209"/>
      <c r="H1" s="210"/>
    </row>
    <row r="2" spans="1:51" ht="20.25" customHeight="1">
      <c r="A2" s="766" t="s">
        <v>14</v>
      </c>
      <c r="B2" s="767"/>
      <c r="C2" s="767"/>
      <c r="D2" s="767"/>
      <c r="E2" s="767"/>
      <c r="F2" s="212"/>
      <c r="G2" s="213"/>
      <c r="H2" s="214"/>
    </row>
    <row r="3" spans="1:51" ht="15.75">
      <c r="A3" s="693" t="s">
        <v>15</v>
      </c>
      <c r="B3" s="694"/>
      <c r="C3" s="694"/>
      <c r="D3" s="694"/>
      <c r="E3" s="694"/>
      <c r="F3" s="215"/>
      <c r="G3" s="213"/>
      <c r="H3" s="214"/>
    </row>
    <row r="4" spans="1:51" ht="15.75">
      <c r="A4" s="216" t="s">
        <v>16</v>
      </c>
      <c r="B4" s="217"/>
      <c r="C4" s="84"/>
      <c r="D4" s="85"/>
      <c r="E4" s="695" t="s">
        <v>17</v>
      </c>
      <c r="F4" s="695"/>
      <c r="G4" s="213"/>
      <c r="H4" s="214"/>
    </row>
    <row r="5" spans="1:51" ht="36" customHeight="1">
      <c r="A5" s="696" t="str">
        <f>'Estimativa LABMETRO e USIMEC'!A5:C5</f>
        <v>REFORMA DO LABMETRO E USIMEC - ESCOLA POLITÉCNICA - UFBA</v>
      </c>
      <c r="B5" s="697"/>
      <c r="C5" s="697"/>
      <c r="D5" s="697"/>
      <c r="E5" s="698" t="s">
        <v>516</v>
      </c>
      <c r="F5" s="699"/>
      <c r="G5" s="213"/>
      <c r="H5" s="214"/>
    </row>
    <row r="6" spans="1:51" ht="15.75">
      <c r="A6" s="700" t="s">
        <v>18</v>
      </c>
      <c r="B6" s="701"/>
      <c r="C6" s="701"/>
      <c r="D6" s="87"/>
      <c r="E6" s="695" t="s">
        <v>123</v>
      </c>
      <c r="F6" s="695"/>
      <c r="G6" s="213"/>
      <c r="H6" s="214"/>
    </row>
    <row r="7" spans="1:51" ht="16.5" thickBot="1">
      <c r="A7" s="89" t="str">
        <f>[4]SERVIÇOS!A7</f>
        <v>Campus Universitário da Federação, Salvador, Bahia</v>
      </c>
      <c r="B7" s="218"/>
      <c r="C7" s="218"/>
      <c r="D7" s="90"/>
      <c r="E7" s="702">
        <f>'Estimativa LABMETRO e USIMEC'!D7</f>
        <v>399.52</v>
      </c>
      <c r="F7" s="702"/>
      <c r="G7" s="219"/>
      <c r="H7" s="220"/>
    </row>
    <row r="8" spans="1:51" ht="15" thickBot="1"/>
    <row r="9" spans="1:51" s="231" customFormat="1" ht="14.25" customHeight="1">
      <c r="A9" s="703" t="s">
        <v>124</v>
      </c>
      <c r="B9" s="704"/>
      <c r="C9" s="704"/>
      <c r="D9" s="704"/>
      <c r="E9" s="705"/>
      <c r="F9" s="221"/>
      <c r="G9" s="222"/>
      <c r="H9" s="223"/>
      <c r="I9" s="224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6"/>
      <c r="U9" s="227"/>
      <c r="V9" s="226"/>
      <c r="W9" s="226"/>
      <c r="X9" s="226"/>
      <c r="Y9" s="226"/>
      <c r="Z9" s="228"/>
      <c r="AA9" s="226"/>
      <c r="AB9" s="226"/>
      <c r="AC9" s="226"/>
      <c r="AD9" s="226"/>
      <c r="AE9" s="709"/>
      <c r="AF9" s="226"/>
      <c r="AG9" s="226"/>
      <c r="AH9" s="229"/>
      <c r="AI9" s="229"/>
      <c r="AJ9" s="229"/>
      <c r="AK9" s="229"/>
      <c r="AL9" s="229"/>
      <c r="AM9" s="229"/>
      <c r="AN9" s="229"/>
      <c r="AO9" s="229"/>
      <c r="AP9" s="229"/>
      <c r="AQ9" s="229"/>
      <c r="AR9" s="229"/>
      <c r="AS9" s="229"/>
      <c r="AT9" s="229"/>
      <c r="AU9" s="229"/>
      <c r="AV9" s="229"/>
      <c r="AW9" s="229"/>
      <c r="AX9" s="229"/>
      <c r="AY9" s="230"/>
    </row>
    <row r="10" spans="1:51" s="231" customFormat="1" ht="14.25" customHeight="1" thickBot="1">
      <c r="A10" s="706"/>
      <c r="B10" s="707"/>
      <c r="C10" s="707"/>
      <c r="D10" s="707"/>
      <c r="E10" s="708"/>
      <c r="F10" s="221"/>
      <c r="G10" s="232"/>
      <c r="H10" s="233"/>
      <c r="I10" s="224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6"/>
      <c r="U10" s="227"/>
      <c r="V10" s="226"/>
      <c r="W10" s="226"/>
      <c r="X10" s="226"/>
      <c r="Y10" s="226"/>
      <c r="Z10" s="228"/>
      <c r="AA10" s="226"/>
      <c r="AB10" s="226"/>
      <c r="AC10" s="226"/>
      <c r="AD10" s="226"/>
      <c r="AE10" s="709"/>
      <c r="AF10" s="226"/>
      <c r="AG10" s="226"/>
      <c r="AH10" s="229"/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  <c r="AT10" s="229"/>
      <c r="AU10" s="229"/>
      <c r="AV10" s="229"/>
      <c r="AW10" s="229"/>
      <c r="AX10" s="229"/>
      <c r="AY10" s="230"/>
    </row>
    <row r="11" spans="1:51" s="231" customFormat="1" ht="4.5" customHeight="1" thickBot="1">
      <c r="A11" s="234"/>
      <c r="B11" s="235"/>
      <c r="C11" s="235"/>
      <c r="D11" s="235"/>
      <c r="E11" s="236"/>
      <c r="F11" s="237"/>
      <c r="G11" s="238"/>
      <c r="H11" s="233"/>
      <c r="I11" s="224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6"/>
      <c r="U11" s="227"/>
      <c r="V11" s="226"/>
      <c r="W11" s="226"/>
      <c r="X11" s="226"/>
      <c r="Y11" s="226"/>
      <c r="Z11" s="228"/>
      <c r="AA11" s="226"/>
      <c r="AB11" s="226"/>
      <c r="AC11" s="226"/>
      <c r="AD11" s="226"/>
      <c r="AE11" s="709"/>
      <c r="AF11" s="226"/>
      <c r="AG11" s="226"/>
      <c r="AH11" s="229"/>
      <c r="AI11" s="229"/>
      <c r="AJ11" s="229"/>
      <c r="AK11" s="229"/>
      <c r="AL11" s="229"/>
      <c r="AM11" s="229"/>
      <c r="AN11" s="229"/>
      <c r="AO11" s="229"/>
      <c r="AP11" s="229"/>
      <c r="AQ11" s="229"/>
      <c r="AR11" s="229"/>
      <c r="AS11" s="229"/>
      <c r="AT11" s="229"/>
      <c r="AU11" s="229"/>
      <c r="AV11" s="229"/>
      <c r="AW11" s="229"/>
      <c r="AX11" s="229"/>
      <c r="AY11" s="230"/>
    </row>
    <row r="12" spans="1:51" s="231" customFormat="1" ht="27" customHeight="1" thickBot="1">
      <c r="A12" s="710" t="str">
        <f>A5</f>
        <v>REFORMA DO LABMETRO E USIMEC - ESCOLA POLITÉCNICA - UFBA</v>
      </c>
      <c r="B12" s="711"/>
      <c r="C12" s="712" t="s">
        <v>125</v>
      </c>
      <c r="D12" s="713"/>
      <c r="E12" s="239" t="s">
        <v>126</v>
      </c>
      <c r="F12" s="240"/>
      <c r="G12" s="241"/>
      <c r="H12" s="242"/>
      <c r="I12" s="224"/>
      <c r="J12" s="225"/>
      <c r="K12" s="225"/>
      <c r="L12" s="243"/>
      <c r="M12" s="714"/>
      <c r="N12" s="714"/>
      <c r="O12" s="714"/>
      <c r="P12" s="225"/>
      <c r="Q12" s="225"/>
      <c r="R12" s="225"/>
      <c r="S12" s="225"/>
      <c r="T12" s="225"/>
      <c r="U12" s="244"/>
      <c r="V12" s="245"/>
      <c r="W12" s="246"/>
      <c r="X12" s="247"/>
      <c r="Y12" s="248"/>
      <c r="Z12" s="249"/>
      <c r="AA12" s="250"/>
      <c r="AB12" s="251"/>
      <c r="AC12" s="251"/>
      <c r="AD12" s="251"/>
      <c r="AE12" s="709"/>
      <c r="AF12" s="250"/>
      <c r="AG12" s="225"/>
      <c r="AH12" s="229"/>
      <c r="AI12" s="229"/>
      <c r="AJ12" s="229"/>
      <c r="AK12" s="229"/>
      <c r="AL12" s="229"/>
      <c r="AM12" s="229"/>
      <c r="AN12" s="229"/>
      <c r="AO12" s="229"/>
      <c r="AP12" s="229"/>
      <c r="AQ12" s="229"/>
      <c r="AR12" s="229"/>
      <c r="AS12" s="229"/>
      <c r="AT12" s="229"/>
      <c r="AU12" s="229"/>
      <c r="AV12" s="229"/>
      <c r="AW12" s="229"/>
      <c r="AX12" s="229"/>
      <c r="AY12" s="230"/>
    </row>
    <row r="13" spans="1:51" s="231" customFormat="1" ht="14.25" customHeight="1" thickBot="1">
      <c r="A13" s="252" t="s">
        <v>127</v>
      </c>
      <c r="B13" s="253"/>
      <c r="C13" s="712" t="s">
        <v>128</v>
      </c>
      <c r="D13" s="713"/>
      <c r="E13" s="254" t="str">
        <f>E5</f>
        <v>JANEIRO/2022</v>
      </c>
      <c r="F13" s="255"/>
      <c r="G13" s="256"/>
      <c r="H13" s="257"/>
      <c r="I13" s="224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44"/>
      <c r="V13" s="245"/>
      <c r="W13" s="246"/>
      <c r="X13" s="247"/>
      <c r="Y13" s="258"/>
      <c r="Z13" s="259"/>
      <c r="AA13" s="260"/>
      <c r="AB13" s="261"/>
      <c r="AC13" s="261"/>
      <c r="AD13" s="261"/>
      <c r="AE13" s="709"/>
      <c r="AF13" s="260"/>
      <c r="AG13" s="225"/>
      <c r="AH13" s="229"/>
      <c r="AI13" s="229"/>
      <c r="AJ13" s="229"/>
      <c r="AK13" s="229"/>
      <c r="AL13" s="229"/>
      <c r="AM13" s="229"/>
      <c r="AN13" s="229"/>
      <c r="AO13" s="229"/>
      <c r="AP13" s="229"/>
      <c r="AQ13" s="229"/>
      <c r="AR13" s="229"/>
      <c r="AS13" s="229"/>
      <c r="AT13" s="229"/>
      <c r="AU13" s="229"/>
      <c r="AV13" s="229"/>
      <c r="AW13" s="229"/>
      <c r="AX13" s="229"/>
      <c r="AY13" s="230"/>
    </row>
    <row r="14" spans="1:51" s="263" customFormat="1" ht="13.5" thickBot="1">
      <c r="A14" s="717"/>
      <c r="B14" s="717"/>
      <c r="C14" s="717"/>
      <c r="D14" s="717"/>
      <c r="E14" s="717"/>
      <c r="F14" s="717"/>
      <c r="G14" s="717"/>
      <c r="H14" s="717"/>
      <c r="I14" s="262"/>
    </row>
    <row r="15" spans="1:51" ht="15.75" thickBot="1">
      <c r="A15" s="718" t="s">
        <v>129</v>
      </c>
      <c r="B15" s="719"/>
      <c r="C15" s="719"/>
      <c r="D15" s="719"/>
      <c r="E15" s="719"/>
      <c r="F15" s="719"/>
      <c r="G15" s="719"/>
      <c r="H15" s="720"/>
    </row>
    <row r="16" spans="1:51" ht="3.75" customHeight="1" thickBot="1">
      <c r="A16" s="264"/>
      <c r="B16" s="265"/>
      <c r="C16" s="265"/>
      <c r="D16" s="265"/>
      <c r="E16" s="265"/>
      <c r="F16" s="266"/>
      <c r="G16" s="266"/>
      <c r="H16" s="267"/>
    </row>
    <row r="17" spans="1:18" ht="15.75" thickBot="1">
      <c r="A17" s="718" t="s">
        <v>130</v>
      </c>
      <c r="B17" s="719"/>
      <c r="C17" s="720"/>
      <c r="D17" s="265"/>
      <c r="E17" s="721" t="s">
        <v>131</v>
      </c>
      <c r="F17" s="722"/>
      <c r="G17" s="723"/>
      <c r="H17" s="724"/>
    </row>
    <row r="18" spans="1:18" ht="22.5" customHeight="1">
      <c r="A18" s="729" t="s">
        <v>20</v>
      </c>
      <c r="B18" s="731" t="s">
        <v>132</v>
      </c>
      <c r="C18" s="733" t="s">
        <v>133</v>
      </c>
      <c r="D18" s="268"/>
      <c r="E18" s="725"/>
      <c r="F18" s="726"/>
      <c r="G18" s="727"/>
      <c r="H18" s="728"/>
      <c r="N18" s="269"/>
      <c r="O18" s="270"/>
      <c r="P18" s="271"/>
      <c r="Q18" s="272"/>
      <c r="R18" s="272"/>
    </row>
    <row r="19" spans="1:18" ht="18.75" thickBot="1">
      <c r="A19" s="730"/>
      <c r="B19" s="732"/>
      <c r="C19" s="734"/>
      <c r="D19" s="268"/>
      <c r="E19" s="273" t="s">
        <v>134</v>
      </c>
      <c r="F19" s="735" t="s">
        <v>135</v>
      </c>
      <c r="G19" s="736"/>
      <c r="H19" s="274" t="s">
        <v>136</v>
      </c>
      <c r="N19" s="269"/>
      <c r="O19" s="270"/>
      <c r="P19" s="271"/>
      <c r="Q19" s="272"/>
      <c r="R19" s="272"/>
    </row>
    <row r="20" spans="1:18" ht="3" customHeight="1" thickBot="1">
      <c r="A20" s="737"/>
      <c r="B20" s="738"/>
      <c r="C20" s="738"/>
      <c r="D20" s="275"/>
      <c r="E20" s="275"/>
      <c r="F20" s="266"/>
      <c r="G20" s="266"/>
      <c r="H20" s="267"/>
      <c r="N20" s="269"/>
      <c r="O20" s="276"/>
      <c r="P20" s="277"/>
      <c r="Q20" s="277"/>
      <c r="R20" s="277"/>
    </row>
    <row r="21" spans="1:18" ht="18">
      <c r="A21" s="278" t="s">
        <v>137</v>
      </c>
      <c r="B21" s="739" t="s">
        <v>138</v>
      </c>
      <c r="C21" s="740"/>
      <c r="D21" s="279"/>
      <c r="E21" s="280"/>
      <c r="F21" s="741"/>
      <c r="G21" s="742"/>
      <c r="H21" s="281"/>
      <c r="N21" s="277"/>
      <c r="O21" s="276"/>
      <c r="P21" s="282"/>
      <c r="Q21" s="277"/>
      <c r="R21" s="277"/>
    </row>
    <row r="22" spans="1:18" ht="18">
      <c r="A22" s="283" t="s">
        <v>139</v>
      </c>
      <c r="B22" s="284" t="s">
        <v>140</v>
      </c>
      <c r="C22" s="285">
        <v>0.01</v>
      </c>
      <c r="D22" s="286"/>
      <c r="E22" s="287">
        <v>8.0000000000000002E-3</v>
      </c>
      <c r="F22" s="715">
        <v>8.0000000000000002E-3</v>
      </c>
      <c r="G22" s="716"/>
      <c r="H22" s="288">
        <v>0.01</v>
      </c>
      <c r="N22" s="277"/>
      <c r="O22" s="289"/>
      <c r="P22" s="290"/>
      <c r="Q22" s="291"/>
      <c r="R22" s="292"/>
    </row>
    <row r="23" spans="1:18" ht="18">
      <c r="A23" s="283" t="s">
        <v>141</v>
      </c>
      <c r="B23" s="284" t="s">
        <v>142</v>
      </c>
      <c r="C23" s="285">
        <v>1.23E-2</v>
      </c>
      <c r="D23" s="286"/>
      <c r="E23" s="287">
        <v>9.7000000000000003E-3</v>
      </c>
      <c r="F23" s="715">
        <v>1.2699999999999999E-2</v>
      </c>
      <c r="G23" s="716"/>
      <c r="H23" s="288">
        <v>1.2699999999999999E-2</v>
      </c>
      <c r="N23" s="277"/>
      <c r="O23" s="289"/>
      <c r="P23" s="290"/>
      <c r="Q23" s="293"/>
      <c r="R23" s="292"/>
    </row>
    <row r="24" spans="1:18" ht="18">
      <c r="A24" s="283" t="s">
        <v>143</v>
      </c>
      <c r="B24" s="284" t="s">
        <v>144</v>
      </c>
      <c r="C24" s="285">
        <v>1.2999999999999999E-2</v>
      </c>
      <c r="D24" s="286"/>
      <c r="E24" s="287">
        <v>5.8999999999999999E-3</v>
      </c>
      <c r="F24" s="715">
        <v>1.23E-2</v>
      </c>
      <c r="G24" s="716"/>
      <c r="H24" s="288">
        <v>1.3899999999999999E-2</v>
      </c>
      <c r="N24" s="277"/>
      <c r="O24" s="289"/>
      <c r="P24" s="290"/>
      <c r="Q24" s="293"/>
      <c r="R24" s="292"/>
    </row>
    <row r="25" spans="1:18" ht="18">
      <c r="A25" s="283" t="s">
        <v>145</v>
      </c>
      <c r="B25" s="284" t="s">
        <v>146</v>
      </c>
      <c r="C25" s="285">
        <v>0.05</v>
      </c>
      <c r="D25" s="286"/>
      <c r="E25" s="287">
        <v>0.03</v>
      </c>
      <c r="F25" s="715">
        <v>0.04</v>
      </c>
      <c r="G25" s="716"/>
      <c r="H25" s="288">
        <v>5.5E-2</v>
      </c>
      <c r="N25" s="277"/>
      <c r="O25" s="289"/>
      <c r="P25" s="290"/>
      <c r="Q25" s="293"/>
      <c r="R25" s="292"/>
    </row>
    <row r="26" spans="1:18" ht="18.75" thickBot="1">
      <c r="A26" s="743" t="s">
        <v>147</v>
      </c>
      <c r="B26" s="744"/>
      <c r="C26" s="294">
        <f>SUM(C22:C25)</f>
        <v>8.5300000000000001E-2</v>
      </c>
      <c r="D26" s="295"/>
      <c r="E26" s="296"/>
      <c r="F26" s="745"/>
      <c r="G26" s="746"/>
      <c r="H26" s="297"/>
      <c r="N26" s="277"/>
      <c r="O26" s="289"/>
      <c r="P26" s="290"/>
      <c r="Q26" s="293"/>
      <c r="R26" s="292"/>
    </row>
    <row r="27" spans="1:18" ht="3" customHeight="1" thickBot="1">
      <c r="A27" s="747"/>
      <c r="B27" s="748"/>
      <c r="C27" s="748"/>
      <c r="D27" s="298"/>
      <c r="E27" s="286"/>
      <c r="F27" s="286"/>
      <c r="G27" s="286"/>
      <c r="H27" s="299"/>
      <c r="N27" s="300"/>
      <c r="O27" s="300"/>
      <c r="P27" s="290"/>
      <c r="Q27" s="293"/>
      <c r="R27" s="301"/>
    </row>
    <row r="28" spans="1:18" ht="15" customHeight="1">
      <c r="A28" s="278" t="s">
        <v>148</v>
      </c>
      <c r="B28" s="739" t="s">
        <v>149</v>
      </c>
      <c r="C28" s="740"/>
      <c r="D28" s="279"/>
      <c r="E28" s="302"/>
      <c r="F28" s="749"/>
      <c r="G28" s="750"/>
      <c r="H28" s="303"/>
      <c r="N28" s="300"/>
      <c r="O28" s="300"/>
      <c r="P28" s="290"/>
      <c r="Q28" s="293"/>
      <c r="R28" s="301"/>
    </row>
    <row r="29" spans="1:18" ht="15" customHeight="1">
      <c r="A29" s="283" t="s">
        <v>150</v>
      </c>
      <c r="B29" s="284" t="s">
        <v>151</v>
      </c>
      <c r="C29" s="285">
        <v>0.08</v>
      </c>
      <c r="D29" s="286"/>
      <c r="E29" s="287">
        <v>6.1600000000000002E-2</v>
      </c>
      <c r="F29" s="715">
        <v>7.3999999999999996E-2</v>
      </c>
      <c r="G29" s="716"/>
      <c r="H29" s="288">
        <v>8.9599999999999999E-2</v>
      </c>
      <c r="N29" s="300"/>
      <c r="O29" s="300"/>
      <c r="P29" s="290"/>
      <c r="Q29" s="293"/>
      <c r="R29" s="301"/>
    </row>
    <row r="30" spans="1:18" ht="15" customHeight="1" thickBot="1">
      <c r="A30" s="743" t="s">
        <v>152</v>
      </c>
      <c r="B30" s="744"/>
      <c r="C30" s="294">
        <f>SUM(C29)</f>
        <v>0.08</v>
      </c>
      <c r="D30" s="295"/>
      <c r="E30" s="296"/>
      <c r="F30" s="745"/>
      <c r="G30" s="746"/>
      <c r="H30" s="297"/>
      <c r="N30" s="277"/>
      <c r="O30" s="300"/>
      <c r="P30" s="290"/>
      <c r="Q30" s="293"/>
      <c r="R30" s="301"/>
    </row>
    <row r="31" spans="1:18" ht="3" customHeight="1" thickBot="1">
      <c r="A31" s="747"/>
      <c r="B31" s="748"/>
      <c r="C31" s="748"/>
      <c r="D31" s="298"/>
      <c r="E31" s="286"/>
      <c r="F31" s="286"/>
      <c r="G31" s="286"/>
      <c r="H31" s="299"/>
      <c r="N31" s="277"/>
      <c r="O31" s="289"/>
      <c r="P31" s="290"/>
      <c r="Q31" s="293"/>
      <c r="R31" s="304"/>
    </row>
    <row r="32" spans="1:18" ht="15" customHeight="1">
      <c r="A32" s="278" t="s">
        <v>153</v>
      </c>
      <c r="B32" s="739" t="s">
        <v>154</v>
      </c>
      <c r="C32" s="740"/>
      <c r="D32" s="279"/>
      <c r="E32" s="755" t="s">
        <v>155</v>
      </c>
      <c r="F32" s="756"/>
      <c r="G32" s="756"/>
      <c r="H32" s="757"/>
      <c r="N32" s="277"/>
      <c r="O32" s="276"/>
      <c r="P32" s="277"/>
      <c r="Q32" s="293"/>
      <c r="R32" s="277"/>
    </row>
    <row r="33" spans="1:18" ht="15" customHeight="1">
      <c r="A33" s="283" t="s">
        <v>156</v>
      </c>
      <c r="B33" s="284" t="s">
        <v>157</v>
      </c>
      <c r="C33" s="285">
        <v>6.4999999999999997E-3</v>
      </c>
      <c r="D33" s="286"/>
      <c r="E33" s="786" t="s">
        <v>158</v>
      </c>
      <c r="F33" s="788" t="s">
        <v>159</v>
      </c>
      <c r="G33" s="788"/>
      <c r="H33" s="790" t="s">
        <v>160</v>
      </c>
      <c r="N33" s="277"/>
      <c r="O33" s="276"/>
      <c r="P33" s="277"/>
      <c r="Q33" s="293"/>
      <c r="R33" s="277"/>
    </row>
    <row r="34" spans="1:18" ht="18" customHeight="1" thickBot="1">
      <c r="A34" s="283" t="s">
        <v>161</v>
      </c>
      <c r="B34" s="284" t="s">
        <v>162</v>
      </c>
      <c r="C34" s="285">
        <v>0.03</v>
      </c>
      <c r="D34" s="286"/>
      <c r="E34" s="787"/>
      <c r="F34" s="789"/>
      <c r="G34" s="789"/>
      <c r="H34" s="791"/>
      <c r="N34" s="305"/>
      <c r="O34" s="276"/>
      <c r="P34" s="277"/>
      <c r="Q34" s="277"/>
      <c r="R34" s="277"/>
    </row>
    <row r="35" spans="1:18" ht="3.75" customHeight="1" thickBot="1">
      <c r="A35" s="792" t="s">
        <v>163</v>
      </c>
      <c r="B35" s="794" t="s">
        <v>164</v>
      </c>
      <c r="C35" s="751">
        <f>H36</f>
        <v>2.5000000000000001E-2</v>
      </c>
      <c r="D35" s="286"/>
      <c r="E35" s="306"/>
      <c r="F35" s="286"/>
      <c r="G35" s="286"/>
      <c r="H35" s="299"/>
      <c r="N35" s="277"/>
      <c r="O35" s="307"/>
      <c r="P35" s="308"/>
      <c r="Q35" s="277"/>
      <c r="R35" s="277"/>
    </row>
    <row r="36" spans="1:18" ht="13.5" customHeight="1" thickBot="1">
      <c r="A36" s="793"/>
      <c r="B36" s="795"/>
      <c r="C36" s="752"/>
      <c r="D36" s="286"/>
      <c r="E36" s="309">
        <v>0.05</v>
      </c>
      <c r="F36" s="753">
        <v>0.5</v>
      </c>
      <c r="G36" s="754"/>
      <c r="H36" s="310">
        <f>E36*F36</f>
        <v>2.5000000000000001E-2</v>
      </c>
      <c r="N36" s="311"/>
      <c r="O36" s="312"/>
      <c r="P36" s="313"/>
      <c r="Q36" s="314"/>
      <c r="R36" s="314"/>
    </row>
    <row r="37" spans="1:18" ht="15" customHeight="1" thickBot="1">
      <c r="A37" s="315" t="s">
        <v>165</v>
      </c>
      <c r="B37" s="316" t="s">
        <v>166</v>
      </c>
      <c r="C37" s="317">
        <v>0</v>
      </c>
      <c r="D37" s="286"/>
      <c r="E37" s="286"/>
      <c r="F37" s="770"/>
      <c r="G37" s="770"/>
      <c r="H37" s="299"/>
    </row>
    <row r="38" spans="1:18" ht="15" customHeight="1" thickBot="1">
      <c r="A38" s="743" t="s">
        <v>167</v>
      </c>
      <c r="B38" s="744"/>
      <c r="C38" s="294">
        <f>SUM(C33:C37)</f>
        <v>6.1499999999999999E-2</v>
      </c>
      <c r="D38" s="295"/>
      <c r="E38" s="771" t="s">
        <v>168</v>
      </c>
      <c r="F38" s="772"/>
      <c r="G38" s="772"/>
      <c r="H38" s="773"/>
    </row>
    <row r="39" spans="1:18" ht="6" customHeight="1">
      <c r="A39" s="777"/>
      <c r="B39" s="778"/>
      <c r="C39" s="778"/>
      <c r="D39" s="318"/>
      <c r="E39" s="774"/>
      <c r="F39" s="775"/>
      <c r="G39" s="775"/>
      <c r="H39" s="776"/>
    </row>
    <row r="40" spans="1:18">
      <c r="A40" s="319"/>
      <c r="B40" s="279" t="s">
        <v>169</v>
      </c>
      <c r="C40" s="320"/>
      <c r="D40" s="320"/>
      <c r="E40" s="774"/>
      <c r="F40" s="775"/>
      <c r="G40" s="775"/>
      <c r="H40" s="776"/>
    </row>
    <row r="41" spans="1:18" ht="3.75" customHeight="1" thickBot="1">
      <c r="A41" s="321"/>
      <c r="B41" s="318"/>
      <c r="C41" s="318"/>
      <c r="D41" s="318"/>
      <c r="E41" s="774"/>
      <c r="F41" s="775"/>
      <c r="G41" s="775"/>
      <c r="H41" s="776"/>
    </row>
    <row r="42" spans="1:18">
      <c r="A42" s="779" t="s">
        <v>170</v>
      </c>
      <c r="B42" s="780"/>
      <c r="C42" s="781"/>
      <c r="D42" s="250"/>
      <c r="E42" s="774"/>
      <c r="F42" s="775"/>
      <c r="G42" s="775"/>
      <c r="H42" s="776"/>
    </row>
    <row r="43" spans="1:18" ht="15" thickBot="1">
      <c r="A43" s="782"/>
      <c r="B43" s="783"/>
      <c r="C43" s="784"/>
      <c r="D43" s="250"/>
      <c r="E43" s="273" t="s">
        <v>171</v>
      </c>
      <c r="F43" s="785" t="s">
        <v>135</v>
      </c>
      <c r="G43" s="785"/>
      <c r="H43" s="274" t="s">
        <v>172</v>
      </c>
    </row>
    <row r="44" spans="1:18" ht="3.75" customHeight="1" thickBot="1">
      <c r="A44" s="322"/>
      <c r="B44" s="323"/>
      <c r="C44" s="324"/>
      <c r="D44" s="324"/>
      <c r="E44" s="324"/>
      <c r="F44" s="266"/>
      <c r="G44" s="266"/>
      <c r="H44" s="267"/>
    </row>
    <row r="45" spans="1:18" ht="16.5" thickBot="1">
      <c r="A45" s="758" t="s">
        <v>173</v>
      </c>
      <c r="B45" s="759"/>
      <c r="C45" s="762">
        <f>(((1+C25+C22+C23)*(1+C24)*(1+C30))/(1-C38))-1</f>
        <v>0.25001501545018612</v>
      </c>
      <c r="D45" s="325"/>
      <c r="E45" s="309">
        <v>0.2034</v>
      </c>
      <c r="F45" s="764">
        <v>0.22120000000000001</v>
      </c>
      <c r="G45" s="765"/>
      <c r="H45" s="326">
        <v>0.25</v>
      </c>
    </row>
    <row r="46" spans="1:18" ht="16.5" thickBot="1">
      <c r="A46" s="760"/>
      <c r="B46" s="761"/>
      <c r="C46" s="763"/>
      <c r="D46" s="327"/>
      <c r="E46" s="327"/>
      <c r="F46" s="328"/>
      <c r="G46" s="328"/>
      <c r="H46" s="329"/>
    </row>
    <row r="48" spans="1:18" ht="18">
      <c r="B48" s="330" t="s">
        <v>174</v>
      </c>
    </row>
    <row r="50" spans="2:4" ht="18">
      <c r="D50" s="331"/>
    </row>
    <row r="54" spans="2:4">
      <c r="B54" s="332"/>
    </row>
  </sheetData>
  <mergeCells count="57">
    <mergeCell ref="A45:B46"/>
    <mergeCell ref="C45:C46"/>
    <mergeCell ref="F45:G45"/>
    <mergeCell ref="A2:E2"/>
    <mergeCell ref="A1:E1"/>
    <mergeCell ref="F37:G37"/>
    <mergeCell ref="A38:B38"/>
    <mergeCell ref="E38:H42"/>
    <mergeCell ref="A39:C39"/>
    <mergeCell ref="A42:C43"/>
    <mergeCell ref="F43:G43"/>
    <mergeCell ref="E33:E34"/>
    <mergeCell ref="F33:G34"/>
    <mergeCell ref="H33:H34"/>
    <mergeCell ref="A35:A36"/>
    <mergeCell ref="B35:B36"/>
    <mergeCell ref="C35:C36"/>
    <mergeCell ref="F36:G36"/>
    <mergeCell ref="F29:G29"/>
    <mergeCell ref="A30:B30"/>
    <mergeCell ref="F30:G30"/>
    <mergeCell ref="A31:C31"/>
    <mergeCell ref="B32:C32"/>
    <mergeCell ref="E32:H32"/>
    <mergeCell ref="F25:G25"/>
    <mergeCell ref="A26:B26"/>
    <mergeCell ref="F26:G26"/>
    <mergeCell ref="A27:C27"/>
    <mergeCell ref="B28:C28"/>
    <mergeCell ref="F28:G28"/>
    <mergeCell ref="F24:G24"/>
    <mergeCell ref="A14:H14"/>
    <mergeCell ref="A15:H15"/>
    <mergeCell ref="A17:C17"/>
    <mergeCell ref="E17:H18"/>
    <mergeCell ref="A18:A19"/>
    <mergeCell ref="B18:B19"/>
    <mergeCell ref="C18:C19"/>
    <mergeCell ref="F19:G19"/>
    <mergeCell ref="A20:C20"/>
    <mergeCell ref="B21:C21"/>
    <mergeCell ref="F21:G21"/>
    <mergeCell ref="F22:G22"/>
    <mergeCell ref="F23:G23"/>
    <mergeCell ref="E7:F7"/>
    <mergeCell ref="A9:E10"/>
    <mergeCell ref="AE9:AE13"/>
    <mergeCell ref="A12:B12"/>
    <mergeCell ref="C12:D12"/>
    <mergeCell ref="M12:O12"/>
    <mergeCell ref="C13:D13"/>
    <mergeCell ref="A3:E3"/>
    <mergeCell ref="E4:F4"/>
    <mergeCell ref="A5:D5"/>
    <mergeCell ref="E5:F5"/>
    <mergeCell ref="A6:C6"/>
    <mergeCell ref="E6:F6"/>
  </mergeCells>
  <conditionalFormatting sqref="L12 U12:V13 Y12:AD13 AF12:AG13 O13 Q9:S11 AK9:AK13 AM9:AX13 T9:T13 AZ9:HH13 O9:O11 I9:I13 E11:H11 B11:C11 A11:A13 A9 E12:E13 B13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69" orientation="portrait" r:id="rId1"/>
  <headerFooter>
    <oddFooter>&amp;L&amp;A&amp;RPágina &amp;P de &amp;N</oddFooter>
  </headerFooter>
  <colBreaks count="1" manualBreakCount="1">
    <brk id="8" min="8" max="7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M62"/>
  <sheetViews>
    <sheetView view="pageBreakPreview" zoomScaleSheetLayoutView="100" workbookViewId="0">
      <selection activeCell="L6" sqref="L6"/>
    </sheetView>
  </sheetViews>
  <sheetFormatPr defaultRowHeight="12.75"/>
  <cols>
    <col min="1" max="1" width="8.85546875" style="334" customWidth="1"/>
    <col min="2" max="2" width="14.140625" style="334" customWidth="1"/>
    <col min="3" max="3" width="16.5703125" style="334" customWidth="1"/>
    <col min="4" max="4" width="55.7109375" style="334" customWidth="1"/>
    <col min="5" max="5" width="10.5703125" style="334" customWidth="1"/>
    <col min="6" max="6" width="6" style="334" customWidth="1"/>
    <col min="7" max="7" width="10" style="334" customWidth="1"/>
    <col min="8" max="8" width="13.42578125" style="334" customWidth="1"/>
    <col min="9" max="9" width="10" style="334" customWidth="1"/>
    <col min="10" max="10" width="13.42578125" style="334" customWidth="1"/>
    <col min="11" max="256" width="9.140625" style="334"/>
    <col min="257" max="257" width="8.85546875" style="334" customWidth="1"/>
    <col min="258" max="258" width="14.140625" style="334" customWidth="1"/>
    <col min="259" max="259" width="16.5703125" style="334" customWidth="1"/>
    <col min="260" max="260" width="55.7109375" style="334" customWidth="1"/>
    <col min="261" max="261" width="10.5703125" style="334" customWidth="1"/>
    <col min="262" max="262" width="6" style="334" customWidth="1"/>
    <col min="263" max="263" width="10" style="334" customWidth="1"/>
    <col min="264" max="264" width="13.42578125" style="334" customWidth="1"/>
    <col min="265" max="265" width="10" style="334" customWidth="1"/>
    <col min="266" max="266" width="13.42578125" style="334" customWidth="1"/>
    <col min="267" max="512" width="9.140625" style="334"/>
    <col min="513" max="513" width="8.85546875" style="334" customWidth="1"/>
    <col min="514" max="514" width="14.140625" style="334" customWidth="1"/>
    <col min="515" max="515" width="16.5703125" style="334" customWidth="1"/>
    <col min="516" max="516" width="55.7109375" style="334" customWidth="1"/>
    <col min="517" max="517" width="10.5703125" style="334" customWidth="1"/>
    <col min="518" max="518" width="6" style="334" customWidth="1"/>
    <col min="519" max="519" width="10" style="334" customWidth="1"/>
    <col min="520" max="520" width="13.42578125" style="334" customWidth="1"/>
    <col min="521" max="521" width="10" style="334" customWidth="1"/>
    <col min="522" max="522" width="13.42578125" style="334" customWidth="1"/>
    <col min="523" max="768" width="9.140625" style="334"/>
    <col min="769" max="769" width="8.85546875" style="334" customWidth="1"/>
    <col min="770" max="770" width="14.140625" style="334" customWidth="1"/>
    <col min="771" max="771" width="16.5703125" style="334" customWidth="1"/>
    <col min="772" max="772" width="55.7109375" style="334" customWidth="1"/>
    <col min="773" max="773" width="10.5703125" style="334" customWidth="1"/>
    <col min="774" max="774" width="6" style="334" customWidth="1"/>
    <col min="775" max="775" width="10" style="334" customWidth="1"/>
    <col min="776" max="776" width="13.42578125" style="334" customWidth="1"/>
    <col min="777" max="777" width="10" style="334" customWidth="1"/>
    <col min="778" max="778" width="13.42578125" style="334" customWidth="1"/>
    <col min="779" max="1024" width="9.140625" style="334"/>
    <col min="1025" max="1025" width="8.85546875" style="334" customWidth="1"/>
    <col min="1026" max="1026" width="14.140625" style="334" customWidth="1"/>
    <col min="1027" max="1027" width="16.5703125" style="334" customWidth="1"/>
    <col min="1028" max="1028" width="55.7109375" style="334" customWidth="1"/>
    <col min="1029" max="1029" width="10.5703125" style="334" customWidth="1"/>
    <col min="1030" max="1030" width="6" style="334" customWidth="1"/>
    <col min="1031" max="1031" width="10" style="334" customWidth="1"/>
    <col min="1032" max="1032" width="13.42578125" style="334" customWidth="1"/>
    <col min="1033" max="1033" width="10" style="334" customWidth="1"/>
    <col min="1034" max="1034" width="13.42578125" style="334" customWidth="1"/>
    <col min="1035" max="1280" width="9.140625" style="334"/>
    <col min="1281" max="1281" width="8.85546875" style="334" customWidth="1"/>
    <col min="1282" max="1282" width="14.140625" style="334" customWidth="1"/>
    <col min="1283" max="1283" width="16.5703125" style="334" customWidth="1"/>
    <col min="1284" max="1284" width="55.7109375" style="334" customWidth="1"/>
    <col min="1285" max="1285" width="10.5703125" style="334" customWidth="1"/>
    <col min="1286" max="1286" width="6" style="334" customWidth="1"/>
    <col min="1287" max="1287" width="10" style="334" customWidth="1"/>
    <col min="1288" max="1288" width="13.42578125" style="334" customWidth="1"/>
    <col min="1289" max="1289" width="10" style="334" customWidth="1"/>
    <col min="1290" max="1290" width="13.42578125" style="334" customWidth="1"/>
    <col min="1291" max="1536" width="9.140625" style="334"/>
    <col min="1537" max="1537" width="8.85546875" style="334" customWidth="1"/>
    <col min="1538" max="1538" width="14.140625" style="334" customWidth="1"/>
    <col min="1539" max="1539" width="16.5703125" style="334" customWidth="1"/>
    <col min="1540" max="1540" width="55.7109375" style="334" customWidth="1"/>
    <col min="1541" max="1541" width="10.5703125" style="334" customWidth="1"/>
    <col min="1542" max="1542" width="6" style="334" customWidth="1"/>
    <col min="1543" max="1543" width="10" style="334" customWidth="1"/>
    <col min="1544" max="1544" width="13.42578125" style="334" customWidth="1"/>
    <col min="1545" max="1545" width="10" style="334" customWidth="1"/>
    <col min="1546" max="1546" width="13.42578125" style="334" customWidth="1"/>
    <col min="1547" max="1792" width="9.140625" style="334"/>
    <col min="1793" max="1793" width="8.85546875" style="334" customWidth="1"/>
    <col min="1794" max="1794" width="14.140625" style="334" customWidth="1"/>
    <col min="1795" max="1795" width="16.5703125" style="334" customWidth="1"/>
    <col min="1796" max="1796" width="55.7109375" style="334" customWidth="1"/>
    <col min="1797" max="1797" width="10.5703125" style="334" customWidth="1"/>
    <col min="1798" max="1798" width="6" style="334" customWidth="1"/>
    <col min="1799" max="1799" width="10" style="334" customWidth="1"/>
    <col min="1800" max="1800" width="13.42578125" style="334" customWidth="1"/>
    <col min="1801" max="1801" width="10" style="334" customWidth="1"/>
    <col min="1802" max="1802" width="13.42578125" style="334" customWidth="1"/>
    <col min="1803" max="2048" width="9.140625" style="334"/>
    <col min="2049" max="2049" width="8.85546875" style="334" customWidth="1"/>
    <col min="2050" max="2050" width="14.140625" style="334" customWidth="1"/>
    <col min="2051" max="2051" width="16.5703125" style="334" customWidth="1"/>
    <col min="2052" max="2052" width="55.7109375" style="334" customWidth="1"/>
    <col min="2053" max="2053" width="10.5703125" style="334" customWidth="1"/>
    <col min="2054" max="2054" width="6" style="334" customWidth="1"/>
    <col min="2055" max="2055" width="10" style="334" customWidth="1"/>
    <col min="2056" max="2056" width="13.42578125" style="334" customWidth="1"/>
    <col min="2057" max="2057" width="10" style="334" customWidth="1"/>
    <col min="2058" max="2058" width="13.42578125" style="334" customWidth="1"/>
    <col min="2059" max="2304" width="9.140625" style="334"/>
    <col min="2305" max="2305" width="8.85546875" style="334" customWidth="1"/>
    <col min="2306" max="2306" width="14.140625" style="334" customWidth="1"/>
    <col min="2307" max="2307" width="16.5703125" style="334" customWidth="1"/>
    <col min="2308" max="2308" width="55.7109375" style="334" customWidth="1"/>
    <col min="2309" max="2309" width="10.5703125" style="334" customWidth="1"/>
    <col min="2310" max="2310" width="6" style="334" customWidth="1"/>
    <col min="2311" max="2311" width="10" style="334" customWidth="1"/>
    <col min="2312" max="2312" width="13.42578125" style="334" customWidth="1"/>
    <col min="2313" max="2313" width="10" style="334" customWidth="1"/>
    <col min="2314" max="2314" width="13.42578125" style="334" customWidth="1"/>
    <col min="2315" max="2560" width="9.140625" style="334"/>
    <col min="2561" max="2561" width="8.85546875" style="334" customWidth="1"/>
    <col min="2562" max="2562" width="14.140625" style="334" customWidth="1"/>
    <col min="2563" max="2563" width="16.5703125" style="334" customWidth="1"/>
    <col min="2564" max="2564" width="55.7109375" style="334" customWidth="1"/>
    <col min="2565" max="2565" width="10.5703125" style="334" customWidth="1"/>
    <col min="2566" max="2566" width="6" style="334" customWidth="1"/>
    <col min="2567" max="2567" width="10" style="334" customWidth="1"/>
    <col min="2568" max="2568" width="13.42578125" style="334" customWidth="1"/>
    <col min="2569" max="2569" width="10" style="334" customWidth="1"/>
    <col min="2570" max="2570" width="13.42578125" style="334" customWidth="1"/>
    <col min="2571" max="2816" width="9.140625" style="334"/>
    <col min="2817" max="2817" width="8.85546875" style="334" customWidth="1"/>
    <col min="2818" max="2818" width="14.140625" style="334" customWidth="1"/>
    <col min="2819" max="2819" width="16.5703125" style="334" customWidth="1"/>
    <col min="2820" max="2820" width="55.7109375" style="334" customWidth="1"/>
    <col min="2821" max="2821" width="10.5703125" style="334" customWidth="1"/>
    <col min="2822" max="2822" width="6" style="334" customWidth="1"/>
    <col min="2823" max="2823" width="10" style="334" customWidth="1"/>
    <col min="2824" max="2824" width="13.42578125" style="334" customWidth="1"/>
    <col min="2825" max="2825" width="10" style="334" customWidth="1"/>
    <col min="2826" max="2826" width="13.42578125" style="334" customWidth="1"/>
    <col min="2827" max="3072" width="9.140625" style="334"/>
    <col min="3073" max="3073" width="8.85546875" style="334" customWidth="1"/>
    <col min="3074" max="3074" width="14.140625" style="334" customWidth="1"/>
    <col min="3075" max="3075" width="16.5703125" style="334" customWidth="1"/>
    <col min="3076" max="3076" width="55.7109375" style="334" customWidth="1"/>
    <col min="3077" max="3077" width="10.5703125" style="334" customWidth="1"/>
    <col min="3078" max="3078" width="6" style="334" customWidth="1"/>
    <col min="3079" max="3079" width="10" style="334" customWidth="1"/>
    <col min="3080" max="3080" width="13.42578125" style="334" customWidth="1"/>
    <col min="3081" max="3081" width="10" style="334" customWidth="1"/>
    <col min="3082" max="3082" width="13.42578125" style="334" customWidth="1"/>
    <col min="3083" max="3328" width="9.140625" style="334"/>
    <col min="3329" max="3329" width="8.85546875" style="334" customWidth="1"/>
    <col min="3330" max="3330" width="14.140625" style="334" customWidth="1"/>
    <col min="3331" max="3331" width="16.5703125" style="334" customWidth="1"/>
    <col min="3332" max="3332" width="55.7109375" style="334" customWidth="1"/>
    <col min="3333" max="3333" width="10.5703125" style="334" customWidth="1"/>
    <col min="3334" max="3334" width="6" style="334" customWidth="1"/>
    <col min="3335" max="3335" width="10" style="334" customWidth="1"/>
    <col min="3336" max="3336" width="13.42578125" style="334" customWidth="1"/>
    <col min="3337" max="3337" width="10" style="334" customWidth="1"/>
    <col min="3338" max="3338" width="13.42578125" style="334" customWidth="1"/>
    <col min="3339" max="3584" width="9.140625" style="334"/>
    <col min="3585" max="3585" width="8.85546875" style="334" customWidth="1"/>
    <col min="3586" max="3586" width="14.140625" style="334" customWidth="1"/>
    <col min="3587" max="3587" width="16.5703125" style="334" customWidth="1"/>
    <col min="3588" max="3588" width="55.7109375" style="334" customWidth="1"/>
    <col min="3589" max="3589" width="10.5703125" style="334" customWidth="1"/>
    <col min="3590" max="3590" width="6" style="334" customWidth="1"/>
    <col min="3591" max="3591" width="10" style="334" customWidth="1"/>
    <col min="3592" max="3592" width="13.42578125" style="334" customWidth="1"/>
    <col min="3593" max="3593" width="10" style="334" customWidth="1"/>
    <col min="3594" max="3594" width="13.42578125" style="334" customWidth="1"/>
    <col min="3595" max="3840" width="9.140625" style="334"/>
    <col min="3841" max="3841" width="8.85546875" style="334" customWidth="1"/>
    <col min="3842" max="3842" width="14.140625" style="334" customWidth="1"/>
    <col min="3843" max="3843" width="16.5703125" style="334" customWidth="1"/>
    <col min="3844" max="3844" width="55.7109375" style="334" customWidth="1"/>
    <col min="3845" max="3845" width="10.5703125" style="334" customWidth="1"/>
    <col min="3846" max="3846" width="6" style="334" customWidth="1"/>
    <col min="3847" max="3847" width="10" style="334" customWidth="1"/>
    <col min="3848" max="3848" width="13.42578125" style="334" customWidth="1"/>
    <col min="3849" max="3849" width="10" style="334" customWidth="1"/>
    <col min="3850" max="3850" width="13.42578125" style="334" customWidth="1"/>
    <col min="3851" max="4096" width="9.140625" style="334"/>
    <col min="4097" max="4097" width="8.85546875" style="334" customWidth="1"/>
    <col min="4098" max="4098" width="14.140625" style="334" customWidth="1"/>
    <col min="4099" max="4099" width="16.5703125" style="334" customWidth="1"/>
    <col min="4100" max="4100" width="55.7109375" style="334" customWidth="1"/>
    <col min="4101" max="4101" width="10.5703125" style="334" customWidth="1"/>
    <col min="4102" max="4102" width="6" style="334" customWidth="1"/>
    <col min="4103" max="4103" width="10" style="334" customWidth="1"/>
    <col min="4104" max="4104" width="13.42578125" style="334" customWidth="1"/>
    <col min="4105" max="4105" width="10" style="334" customWidth="1"/>
    <col min="4106" max="4106" width="13.42578125" style="334" customWidth="1"/>
    <col min="4107" max="4352" width="9.140625" style="334"/>
    <col min="4353" max="4353" width="8.85546875" style="334" customWidth="1"/>
    <col min="4354" max="4354" width="14.140625" style="334" customWidth="1"/>
    <col min="4355" max="4355" width="16.5703125" style="334" customWidth="1"/>
    <col min="4356" max="4356" width="55.7109375" style="334" customWidth="1"/>
    <col min="4357" max="4357" width="10.5703125" style="334" customWidth="1"/>
    <col min="4358" max="4358" width="6" style="334" customWidth="1"/>
    <col min="4359" max="4359" width="10" style="334" customWidth="1"/>
    <col min="4360" max="4360" width="13.42578125" style="334" customWidth="1"/>
    <col min="4361" max="4361" width="10" style="334" customWidth="1"/>
    <col min="4362" max="4362" width="13.42578125" style="334" customWidth="1"/>
    <col min="4363" max="4608" width="9.140625" style="334"/>
    <col min="4609" max="4609" width="8.85546875" style="334" customWidth="1"/>
    <col min="4610" max="4610" width="14.140625" style="334" customWidth="1"/>
    <col min="4611" max="4611" width="16.5703125" style="334" customWidth="1"/>
    <col min="4612" max="4612" width="55.7109375" style="334" customWidth="1"/>
    <col min="4613" max="4613" width="10.5703125" style="334" customWidth="1"/>
    <col min="4614" max="4614" width="6" style="334" customWidth="1"/>
    <col min="4615" max="4615" width="10" style="334" customWidth="1"/>
    <col min="4616" max="4616" width="13.42578125" style="334" customWidth="1"/>
    <col min="4617" max="4617" width="10" style="334" customWidth="1"/>
    <col min="4618" max="4618" width="13.42578125" style="334" customWidth="1"/>
    <col min="4619" max="4864" width="9.140625" style="334"/>
    <col min="4865" max="4865" width="8.85546875" style="334" customWidth="1"/>
    <col min="4866" max="4866" width="14.140625" style="334" customWidth="1"/>
    <col min="4867" max="4867" width="16.5703125" style="334" customWidth="1"/>
    <col min="4868" max="4868" width="55.7109375" style="334" customWidth="1"/>
    <col min="4869" max="4869" width="10.5703125" style="334" customWidth="1"/>
    <col min="4870" max="4870" width="6" style="334" customWidth="1"/>
    <col min="4871" max="4871" width="10" style="334" customWidth="1"/>
    <col min="4872" max="4872" width="13.42578125" style="334" customWidth="1"/>
    <col min="4873" max="4873" width="10" style="334" customWidth="1"/>
    <col min="4874" max="4874" width="13.42578125" style="334" customWidth="1"/>
    <col min="4875" max="5120" width="9.140625" style="334"/>
    <col min="5121" max="5121" width="8.85546875" style="334" customWidth="1"/>
    <col min="5122" max="5122" width="14.140625" style="334" customWidth="1"/>
    <col min="5123" max="5123" width="16.5703125" style="334" customWidth="1"/>
    <col min="5124" max="5124" width="55.7109375" style="334" customWidth="1"/>
    <col min="5125" max="5125" width="10.5703125" style="334" customWidth="1"/>
    <col min="5126" max="5126" width="6" style="334" customWidth="1"/>
    <col min="5127" max="5127" width="10" style="334" customWidth="1"/>
    <col min="5128" max="5128" width="13.42578125" style="334" customWidth="1"/>
    <col min="5129" max="5129" width="10" style="334" customWidth="1"/>
    <col min="5130" max="5130" width="13.42578125" style="334" customWidth="1"/>
    <col min="5131" max="5376" width="9.140625" style="334"/>
    <col min="5377" max="5377" width="8.85546875" style="334" customWidth="1"/>
    <col min="5378" max="5378" width="14.140625" style="334" customWidth="1"/>
    <col min="5379" max="5379" width="16.5703125" style="334" customWidth="1"/>
    <col min="5380" max="5380" width="55.7109375" style="334" customWidth="1"/>
    <col min="5381" max="5381" width="10.5703125" style="334" customWidth="1"/>
    <col min="5382" max="5382" width="6" style="334" customWidth="1"/>
    <col min="5383" max="5383" width="10" style="334" customWidth="1"/>
    <col min="5384" max="5384" width="13.42578125" style="334" customWidth="1"/>
    <col min="5385" max="5385" width="10" style="334" customWidth="1"/>
    <col min="5386" max="5386" width="13.42578125" style="334" customWidth="1"/>
    <col min="5387" max="5632" width="9.140625" style="334"/>
    <col min="5633" max="5633" width="8.85546875" style="334" customWidth="1"/>
    <col min="5634" max="5634" width="14.140625" style="334" customWidth="1"/>
    <col min="5635" max="5635" width="16.5703125" style="334" customWidth="1"/>
    <col min="5636" max="5636" width="55.7109375" style="334" customWidth="1"/>
    <col min="5637" max="5637" width="10.5703125" style="334" customWidth="1"/>
    <col min="5638" max="5638" width="6" style="334" customWidth="1"/>
    <col min="5639" max="5639" width="10" style="334" customWidth="1"/>
    <col min="5640" max="5640" width="13.42578125" style="334" customWidth="1"/>
    <col min="5641" max="5641" width="10" style="334" customWidth="1"/>
    <col min="5642" max="5642" width="13.42578125" style="334" customWidth="1"/>
    <col min="5643" max="5888" width="9.140625" style="334"/>
    <col min="5889" max="5889" width="8.85546875" style="334" customWidth="1"/>
    <col min="5890" max="5890" width="14.140625" style="334" customWidth="1"/>
    <col min="5891" max="5891" width="16.5703125" style="334" customWidth="1"/>
    <col min="5892" max="5892" width="55.7109375" style="334" customWidth="1"/>
    <col min="5893" max="5893" width="10.5703125" style="334" customWidth="1"/>
    <col min="5894" max="5894" width="6" style="334" customWidth="1"/>
    <col min="5895" max="5895" width="10" style="334" customWidth="1"/>
    <col min="5896" max="5896" width="13.42578125" style="334" customWidth="1"/>
    <col min="5897" max="5897" width="10" style="334" customWidth="1"/>
    <col min="5898" max="5898" width="13.42578125" style="334" customWidth="1"/>
    <col min="5899" max="6144" width="9.140625" style="334"/>
    <col min="6145" max="6145" width="8.85546875" style="334" customWidth="1"/>
    <col min="6146" max="6146" width="14.140625" style="334" customWidth="1"/>
    <col min="6147" max="6147" width="16.5703125" style="334" customWidth="1"/>
    <col min="6148" max="6148" width="55.7109375" style="334" customWidth="1"/>
    <col min="6149" max="6149" width="10.5703125" style="334" customWidth="1"/>
    <col min="6150" max="6150" width="6" style="334" customWidth="1"/>
    <col min="6151" max="6151" width="10" style="334" customWidth="1"/>
    <col min="6152" max="6152" width="13.42578125" style="334" customWidth="1"/>
    <col min="6153" max="6153" width="10" style="334" customWidth="1"/>
    <col min="6154" max="6154" width="13.42578125" style="334" customWidth="1"/>
    <col min="6155" max="6400" width="9.140625" style="334"/>
    <col min="6401" max="6401" width="8.85546875" style="334" customWidth="1"/>
    <col min="6402" max="6402" width="14.140625" style="334" customWidth="1"/>
    <col min="6403" max="6403" width="16.5703125" style="334" customWidth="1"/>
    <col min="6404" max="6404" width="55.7109375" style="334" customWidth="1"/>
    <col min="6405" max="6405" width="10.5703125" style="334" customWidth="1"/>
    <col min="6406" max="6406" width="6" style="334" customWidth="1"/>
    <col min="6407" max="6407" width="10" style="334" customWidth="1"/>
    <col min="6408" max="6408" width="13.42578125" style="334" customWidth="1"/>
    <col min="6409" max="6409" width="10" style="334" customWidth="1"/>
    <col min="6410" max="6410" width="13.42578125" style="334" customWidth="1"/>
    <col min="6411" max="6656" width="9.140625" style="334"/>
    <col min="6657" max="6657" width="8.85546875" style="334" customWidth="1"/>
    <col min="6658" max="6658" width="14.140625" style="334" customWidth="1"/>
    <col min="6659" max="6659" width="16.5703125" style="334" customWidth="1"/>
    <col min="6660" max="6660" width="55.7109375" style="334" customWidth="1"/>
    <col min="6661" max="6661" width="10.5703125" style="334" customWidth="1"/>
    <col min="6662" max="6662" width="6" style="334" customWidth="1"/>
    <col min="6663" max="6663" width="10" style="334" customWidth="1"/>
    <col min="6664" max="6664" width="13.42578125" style="334" customWidth="1"/>
    <col min="6665" max="6665" width="10" style="334" customWidth="1"/>
    <col min="6666" max="6666" width="13.42578125" style="334" customWidth="1"/>
    <col min="6667" max="6912" width="9.140625" style="334"/>
    <col min="6913" max="6913" width="8.85546875" style="334" customWidth="1"/>
    <col min="6914" max="6914" width="14.140625" style="334" customWidth="1"/>
    <col min="6915" max="6915" width="16.5703125" style="334" customWidth="1"/>
    <col min="6916" max="6916" width="55.7109375" style="334" customWidth="1"/>
    <col min="6917" max="6917" width="10.5703125" style="334" customWidth="1"/>
    <col min="6918" max="6918" width="6" style="334" customWidth="1"/>
    <col min="6919" max="6919" width="10" style="334" customWidth="1"/>
    <col min="6920" max="6920" width="13.42578125" style="334" customWidth="1"/>
    <col min="6921" max="6921" width="10" style="334" customWidth="1"/>
    <col min="6922" max="6922" width="13.42578125" style="334" customWidth="1"/>
    <col min="6923" max="7168" width="9.140625" style="334"/>
    <col min="7169" max="7169" width="8.85546875" style="334" customWidth="1"/>
    <col min="7170" max="7170" width="14.140625" style="334" customWidth="1"/>
    <col min="7171" max="7171" width="16.5703125" style="334" customWidth="1"/>
    <col min="7172" max="7172" width="55.7109375" style="334" customWidth="1"/>
    <col min="7173" max="7173" width="10.5703125" style="334" customWidth="1"/>
    <col min="7174" max="7174" width="6" style="334" customWidth="1"/>
    <col min="7175" max="7175" width="10" style="334" customWidth="1"/>
    <col min="7176" max="7176" width="13.42578125" style="334" customWidth="1"/>
    <col min="7177" max="7177" width="10" style="334" customWidth="1"/>
    <col min="7178" max="7178" width="13.42578125" style="334" customWidth="1"/>
    <col min="7179" max="7424" width="9.140625" style="334"/>
    <col min="7425" max="7425" width="8.85546875" style="334" customWidth="1"/>
    <col min="7426" max="7426" width="14.140625" style="334" customWidth="1"/>
    <col min="7427" max="7427" width="16.5703125" style="334" customWidth="1"/>
    <col min="7428" max="7428" width="55.7109375" style="334" customWidth="1"/>
    <col min="7429" max="7429" width="10.5703125" style="334" customWidth="1"/>
    <col min="7430" max="7430" width="6" style="334" customWidth="1"/>
    <col min="7431" max="7431" width="10" style="334" customWidth="1"/>
    <col min="7432" max="7432" width="13.42578125" style="334" customWidth="1"/>
    <col min="7433" max="7433" width="10" style="334" customWidth="1"/>
    <col min="7434" max="7434" width="13.42578125" style="334" customWidth="1"/>
    <col min="7435" max="7680" width="9.140625" style="334"/>
    <col min="7681" max="7681" width="8.85546875" style="334" customWidth="1"/>
    <col min="7682" max="7682" width="14.140625" style="334" customWidth="1"/>
    <col min="7683" max="7683" width="16.5703125" style="334" customWidth="1"/>
    <col min="7684" max="7684" width="55.7109375" style="334" customWidth="1"/>
    <col min="7685" max="7685" width="10.5703125" style="334" customWidth="1"/>
    <col min="7686" max="7686" width="6" style="334" customWidth="1"/>
    <col min="7687" max="7687" width="10" style="334" customWidth="1"/>
    <col min="7688" max="7688" width="13.42578125" style="334" customWidth="1"/>
    <col min="7689" max="7689" width="10" style="334" customWidth="1"/>
    <col min="7690" max="7690" width="13.42578125" style="334" customWidth="1"/>
    <col min="7691" max="7936" width="9.140625" style="334"/>
    <col min="7937" max="7937" width="8.85546875" style="334" customWidth="1"/>
    <col min="7938" max="7938" width="14.140625" style="334" customWidth="1"/>
    <col min="7939" max="7939" width="16.5703125" style="334" customWidth="1"/>
    <col min="7940" max="7940" width="55.7109375" style="334" customWidth="1"/>
    <col min="7941" max="7941" width="10.5703125" style="334" customWidth="1"/>
    <col min="7942" max="7942" width="6" style="334" customWidth="1"/>
    <col min="7943" max="7943" width="10" style="334" customWidth="1"/>
    <col min="7944" max="7944" width="13.42578125" style="334" customWidth="1"/>
    <col min="7945" max="7945" width="10" style="334" customWidth="1"/>
    <col min="7946" max="7946" width="13.42578125" style="334" customWidth="1"/>
    <col min="7947" max="8192" width="9.140625" style="334"/>
    <col min="8193" max="8193" width="8.85546875" style="334" customWidth="1"/>
    <col min="8194" max="8194" width="14.140625" style="334" customWidth="1"/>
    <col min="8195" max="8195" width="16.5703125" style="334" customWidth="1"/>
    <col min="8196" max="8196" width="55.7109375" style="334" customWidth="1"/>
    <col min="8197" max="8197" width="10.5703125" style="334" customWidth="1"/>
    <col min="8198" max="8198" width="6" style="334" customWidth="1"/>
    <col min="8199" max="8199" width="10" style="334" customWidth="1"/>
    <col min="8200" max="8200" width="13.42578125" style="334" customWidth="1"/>
    <col min="8201" max="8201" width="10" style="334" customWidth="1"/>
    <col min="8202" max="8202" width="13.42578125" style="334" customWidth="1"/>
    <col min="8203" max="8448" width="9.140625" style="334"/>
    <col min="8449" max="8449" width="8.85546875" style="334" customWidth="1"/>
    <col min="8450" max="8450" width="14.140625" style="334" customWidth="1"/>
    <col min="8451" max="8451" width="16.5703125" style="334" customWidth="1"/>
    <col min="8452" max="8452" width="55.7109375" style="334" customWidth="1"/>
    <col min="8453" max="8453" width="10.5703125" style="334" customWidth="1"/>
    <col min="8454" max="8454" width="6" style="334" customWidth="1"/>
    <col min="8455" max="8455" width="10" style="334" customWidth="1"/>
    <col min="8456" max="8456" width="13.42578125" style="334" customWidth="1"/>
    <col min="8457" max="8457" width="10" style="334" customWidth="1"/>
    <col min="8458" max="8458" width="13.42578125" style="334" customWidth="1"/>
    <col min="8459" max="8704" width="9.140625" style="334"/>
    <col min="8705" max="8705" width="8.85546875" style="334" customWidth="1"/>
    <col min="8706" max="8706" width="14.140625" style="334" customWidth="1"/>
    <col min="8707" max="8707" width="16.5703125" style="334" customWidth="1"/>
    <col min="8708" max="8708" width="55.7109375" style="334" customWidth="1"/>
    <col min="8709" max="8709" width="10.5703125" style="334" customWidth="1"/>
    <col min="8710" max="8710" width="6" style="334" customWidth="1"/>
    <col min="8711" max="8711" width="10" style="334" customWidth="1"/>
    <col min="8712" max="8712" width="13.42578125" style="334" customWidth="1"/>
    <col min="8713" max="8713" width="10" style="334" customWidth="1"/>
    <col min="8714" max="8714" width="13.42578125" style="334" customWidth="1"/>
    <col min="8715" max="8960" width="9.140625" style="334"/>
    <col min="8961" max="8961" width="8.85546875" style="334" customWidth="1"/>
    <col min="8962" max="8962" width="14.140625" style="334" customWidth="1"/>
    <col min="8963" max="8963" width="16.5703125" style="334" customWidth="1"/>
    <col min="8964" max="8964" width="55.7109375" style="334" customWidth="1"/>
    <col min="8965" max="8965" width="10.5703125" style="334" customWidth="1"/>
    <col min="8966" max="8966" width="6" style="334" customWidth="1"/>
    <col min="8967" max="8967" width="10" style="334" customWidth="1"/>
    <col min="8968" max="8968" width="13.42578125" style="334" customWidth="1"/>
    <col min="8969" max="8969" width="10" style="334" customWidth="1"/>
    <col min="8970" max="8970" width="13.42578125" style="334" customWidth="1"/>
    <col min="8971" max="9216" width="9.140625" style="334"/>
    <col min="9217" max="9217" width="8.85546875" style="334" customWidth="1"/>
    <col min="9218" max="9218" width="14.140625" style="334" customWidth="1"/>
    <col min="9219" max="9219" width="16.5703125" style="334" customWidth="1"/>
    <col min="9220" max="9220" width="55.7109375" style="334" customWidth="1"/>
    <col min="9221" max="9221" width="10.5703125" style="334" customWidth="1"/>
    <col min="9222" max="9222" width="6" style="334" customWidth="1"/>
    <col min="9223" max="9223" width="10" style="334" customWidth="1"/>
    <col min="9224" max="9224" width="13.42578125" style="334" customWidth="1"/>
    <col min="9225" max="9225" width="10" style="334" customWidth="1"/>
    <col min="9226" max="9226" width="13.42578125" style="334" customWidth="1"/>
    <col min="9227" max="9472" width="9.140625" style="334"/>
    <col min="9473" max="9473" width="8.85546875" style="334" customWidth="1"/>
    <col min="9474" max="9474" width="14.140625" style="334" customWidth="1"/>
    <col min="9475" max="9475" width="16.5703125" style="334" customWidth="1"/>
    <col min="9476" max="9476" width="55.7109375" style="334" customWidth="1"/>
    <col min="9477" max="9477" width="10.5703125" style="334" customWidth="1"/>
    <col min="9478" max="9478" width="6" style="334" customWidth="1"/>
    <col min="9479" max="9479" width="10" style="334" customWidth="1"/>
    <col min="9480" max="9480" width="13.42578125" style="334" customWidth="1"/>
    <col min="9481" max="9481" width="10" style="334" customWidth="1"/>
    <col min="9482" max="9482" width="13.42578125" style="334" customWidth="1"/>
    <col min="9483" max="9728" width="9.140625" style="334"/>
    <col min="9729" max="9729" width="8.85546875" style="334" customWidth="1"/>
    <col min="9730" max="9730" width="14.140625" style="334" customWidth="1"/>
    <col min="9731" max="9731" width="16.5703125" style="334" customWidth="1"/>
    <col min="9732" max="9732" width="55.7109375" style="334" customWidth="1"/>
    <col min="9733" max="9733" width="10.5703125" style="334" customWidth="1"/>
    <col min="9734" max="9734" width="6" style="334" customWidth="1"/>
    <col min="9735" max="9735" width="10" style="334" customWidth="1"/>
    <col min="9736" max="9736" width="13.42578125" style="334" customWidth="1"/>
    <col min="9737" max="9737" width="10" style="334" customWidth="1"/>
    <col min="9738" max="9738" width="13.42578125" style="334" customWidth="1"/>
    <col min="9739" max="9984" width="9.140625" style="334"/>
    <col min="9985" max="9985" width="8.85546875" style="334" customWidth="1"/>
    <col min="9986" max="9986" width="14.140625" style="334" customWidth="1"/>
    <col min="9987" max="9987" width="16.5703125" style="334" customWidth="1"/>
    <col min="9988" max="9988" width="55.7109375" style="334" customWidth="1"/>
    <col min="9989" max="9989" width="10.5703125" style="334" customWidth="1"/>
    <col min="9990" max="9990" width="6" style="334" customWidth="1"/>
    <col min="9991" max="9991" width="10" style="334" customWidth="1"/>
    <col min="9992" max="9992" width="13.42578125" style="334" customWidth="1"/>
    <col min="9993" max="9993" width="10" style="334" customWidth="1"/>
    <col min="9994" max="9994" width="13.42578125" style="334" customWidth="1"/>
    <col min="9995" max="10240" width="9.140625" style="334"/>
    <col min="10241" max="10241" width="8.85546875" style="334" customWidth="1"/>
    <col min="10242" max="10242" width="14.140625" style="334" customWidth="1"/>
    <col min="10243" max="10243" width="16.5703125" style="334" customWidth="1"/>
    <col min="10244" max="10244" width="55.7109375" style="334" customWidth="1"/>
    <col min="10245" max="10245" width="10.5703125" style="334" customWidth="1"/>
    <col min="10246" max="10246" width="6" style="334" customWidth="1"/>
    <col min="10247" max="10247" width="10" style="334" customWidth="1"/>
    <col min="10248" max="10248" width="13.42578125" style="334" customWidth="1"/>
    <col min="10249" max="10249" width="10" style="334" customWidth="1"/>
    <col min="10250" max="10250" width="13.42578125" style="334" customWidth="1"/>
    <col min="10251" max="10496" width="9.140625" style="334"/>
    <col min="10497" max="10497" width="8.85546875" style="334" customWidth="1"/>
    <col min="10498" max="10498" width="14.140625" style="334" customWidth="1"/>
    <col min="10499" max="10499" width="16.5703125" style="334" customWidth="1"/>
    <col min="10500" max="10500" width="55.7109375" style="334" customWidth="1"/>
    <col min="10501" max="10501" width="10.5703125" style="334" customWidth="1"/>
    <col min="10502" max="10502" width="6" style="334" customWidth="1"/>
    <col min="10503" max="10503" width="10" style="334" customWidth="1"/>
    <col min="10504" max="10504" width="13.42578125" style="334" customWidth="1"/>
    <col min="10505" max="10505" width="10" style="334" customWidth="1"/>
    <col min="10506" max="10506" width="13.42578125" style="334" customWidth="1"/>
    <col min="10507" max="10752" width="9.140625" style="334"/>
    <col min="10753" max="10753" width="8.85546875" style="334" customWidth="1"/>
    <col min="10754" max="10754" width="14.140625" style="334" customWidth="1"/>
    <col min="10755" max="10755" width="16.5703125" style="334" customWidth="1"/>
    <col min="10756" max="10756" width="55.7109375" style="334" customWidth="1"/>
    <col min="10757" max="10757" width="10.5703125" style="334" customWidth="1"/>
    <col min="10758" max="10758" width="6" style="334" customWidth="1"/>
    <col min="10759" max="10759" width="10" style="334" customWidth="1"/>
    <col min="10760" max="10760" width="13.42578125" style="334" customWidth="1"/>
    <col min="10761" max="10761" width="10" style="334" customWidth="1"/>
    <col min="10762" max="10762" width="13.42578125" style="334" customWidth="1"/>
    <col min="10763" max="11008" width="9.140625" style="334"/>
    <col min="11009" max="11009" width="8.85546875" style="334" customWidth="1"/>
    <col min="11010" max="11010" width="14.140625" style="334" customWidth="1"/>
    <col min="11011" max="11011" width="16.5703125" style="334" customWidth="1"/>
    <col min="11012" max="11012" width="55.7109375" style="334" customWidth="1"/>
    <col min="11013" max="11013" width="10.5703125" style="334" customWidth="1"/>
    <col min="11014" max="11014" width="6" style="334" customWidth="1"/>
    <col min="11015" max="11015" width="10" style="334" customWidth="1"/>
    <col min="11016" max="11016" width="13.42578125" style="334" customWidth="1"/>
    <col min="11017" max="11017" width="10" style="334" customWidth="1"/>
    <col min="11018" max="11018" width="13.42578125" style="334" customWidth="1"/>
    <col min="11019" max="11264" width="9.140625" style="334"/>
    <col min="11265" max="11265" width="8.85546875" style="334" customWidth="1"/>
    <col min="11266" max="11266" width="14.140625" style="334" customWidth="1"/>
    <col min="11267" max="11267" width="16.5703125" style="334" customWidth="1"/>
    <col min="11268" max="11268" width="55.7109375" style="334" customWidth="1"/>
    <col min="11269" max="11269" width="10.5703125" style="334" customWidth="1"/>
    <col min="11270" max="11270" width="6" style="334" customWidth="1"/>
    <col min="11271" max="11271" width="10" style="334" customWidth="1"/>
    <col min="11272" max="11272" width="13.42578125" style="334" customWidth="1"/>
    <col min="11273" max="11273" width="10" style="334" customWidth="1"/>
    <col min="11274" max="11274" width="13.42578125" style="334" customWidth="1"/>
    <col min="11275" max="11520" width="9.140625" style="334"/>
    <col min="11521" max="11521" width="8.85546875" style="334" customWidth="1"/>
    <col min="11522" max="11522" width="14.140625" style="334" customWidth="1"/>
    <col min="11523" max="11523" width="16.5703125" style="334" customWidth="1"/>
    <col min="11524" max="11524" width="55.7109375" style="334" customWidth="1"/>
    <col min="11525" max="11525" width="10.5703125" style="334" customWidth="1"/>
    <col min="11526" max="11526" width="6" style="334" customWidth="1"/>
    <col min="11527" max="11527" width="10" style="334" customWidth="1"/>
    <col min="11528" max="11528" width="13.42578125" style="334" customWidth="1"/>
    <col min="11529" max="11529" width="10" style="334" customWidth="1"/>
    <col min="11530" max="11530" width="13.42578125" style="334" customWidth="1"/>
    <col min="11531" max="11776" width="9.140625" style="334"/>
    <col min="11777" max="11777" width="8.85546875" style="334" customWidth="1"/>
    <col min="11778" max="11778" width="14.140625" style="334" customWidth="1"/>
    <col min="11779" max="11779" width="16.5703125" style="334" customWidth="1"/>
    <col min="11780" max="11780" width="55.7109375" style="334" customWidth="1"/>
    <col min="11781" max="11781" width="10.5703125" style="334" customWidth="1"/>
    <col min="11782" max="11782" width="6" style="334" customWidth="1"/>
    <col min="11783" max="11783" width="10" style="334" customWidth="1"/>
    <col min="11784" max="11784" width="13.42578125" style="334" customWidth="1"/>
    <col min="11785" max="11785" width="10" style="334" customWidth="1"/>
    <col min="11786" max="11786" width="13.42578125" style="334" customWidth="1"/>
    <col min="11787" max="12032" width="9.140625" style="334"/>
    <col min="12033" max="12033" width="8.85546875" style="334" customWidth="1"/>
    <col min="12034" max="12034" width="14.140625" style="334" customWidth="1"/>
    <col min="12035" max="12035" width="16.5703125" style="334" customWidth="1"/>
    <col min="12036" max="12036" width="55.7109375" style="334" customWidth="1"/>
    <col min="12037" max="12037" width="10.5703125" style="334" customWidth="1"/>
    <col min="12038" max="12038" width="6" style="334" customWidth="1"/>
    <col min="12039" max="12039" width="10" style="334" customWidth="1"/>
    <col min="12040" max="12040" width="13.42578125" style="334" customWidth="1"/>
    <col min="12041" max="12041" width="10" style="334" customWidth="1"/>
    <col min="12042" max="12042" width="13.42578125" style="334" customWidth="1"/>
    <col min="12043" max="12288" width="9.140625" style="334"/>
    <col min="12289" max="12289" width="8.85546875" style="334" customWidth="1"/>
    <col min="12290" max="12290" width="14.140625" style="334" customWidth="1"/>
    <col min="12291" max="12291" width="16.5703125" style="334" customWidth="1"/>
    <col min="12292" max="12292" width="55.7109375" style="334" customWidth="1"/>
    <col min="12293" max="12293" width="10.5703125" style="334" customWidth="1"/>
    <col min="12294" max="12294" width="6" style="334" customWidth="1"/>
    <col min="12295" max="12295" width="10" style="334" customWidth="1"/>
    <col min="12296" max="12296" width="13.42578125" style="334" customWidth="1"/>
    <col min="12297" max="12297" width="10" style="334" customWidth="1"/>
    <col min="12298" max="12298" width="13.42578125" style="334" customWidth="1"/>
    <col min="12299" max="12544" width="9.140625" style="334"/>
    <col min="12545" max="12545" width="8.85546875" style="334" customWidth="1"/>
    <col min="12546" max="12546" width="14.140625" style="334" customWidth="1"/>
    <col min="12547" max="12547" width="16.5703125" style="334" customWidth="1"/>
    <col min="12548" max="12548" width="55.7109375" style="334" customWidth="1"/>
    <col min="12549" max="12549" width="10.5703125" style="334" customWidth="1"/>
    <col min="12550" max="12550" width="6" style="334" customWidth="1"/>
    <col min="12551" max="12551" width="10" style="334" customWidth="1"/>
    <col min="12552" max="12552" width="13.42578125" style="334" customWidth="1"/>
    <col min="12553" max="12553" width="10" style="334" customWidth="1"/>
    <col min="12554" max="12554" width="13.42578125" style="334" customWidth="1"/>
    <col min="12555" max="12800" width="9.140625" style="334"/>
    <col min="12801" max="12801" width="8.85546875" style="334" customWidth="1"/>
    <col min="12802" max="12802" width="14.140625" style="334" customWidth="1"/>
    <col min="12803" max="12803" width="16.5703125" style="334" customWidth="1"/>
    <col min="12804" max="12804" width="55.7109375" style="334" customWidth="1"/>
    <col min="12805" max="12805" width="10.5703125" style="334" customWidth="1"/>
    <col min="12806" max="12806" width="6" style="334" customWidth="1"/>
    <col min="12807" max="12807" width="10" style="334" customWidth="1"/>
    <col min="12808" max="12808" width="13.42578125" style="334" customWidth="1"/>
    <col min="12809" max="12809" width="10" style="334" customWidth="1"/>
    <col min="12810" max="12810" width="13.42578125" style="334" customWidth="1"/>
    <col min="12811" max="13056" width="9.140625" style="334"/>
    <col min="13057" max="13057" width="8.85546875" style="334" customWidth="1"/>
    <col min="13058" max="13058" width="14.140625" style="334" customWidth="1"/>
    <col min="13059" max="13059" width="16.5703125" style="334" customWidth="1"/>
    <col min="13060" max="13060" width="55.7109375" style="334" customWidth="1"/>
    <col min="13061" max="13061" width="10.5703125" style="334" customWidth="1"/>
    <col min="13062" max="13062" width="6" style="334" customWidth="1"/>
    <col min="13063" max="13063" width="10" style="334" customWidth="1"/>
    <col min="13064" max="13064" width="13.42578125" style="334" customWidth="1"/>
    <col min="13065" max="13065" width="10" style="334" customWidth="1"/>
    <col min="13066" max="13066" width="13.42578125" style="334" customWidth="1"/>
    <col min="13067" max="13312" width="9.140625" style="334"/>
    <col min="13313" max="13313" width="8.85546875" style="334" customWidth="1"/>
    <col min="13314" max="13314" width="14.140625" style="334" customWidth="1"/>
    <col min="13315" max="13315" width="16.5703125" style="334" customWidth="1"/>
    <col min="13316" max="13316" width="55.7109375" style="334" customWidth="1"/>
    <col min="13317" max="13317" width="10.5703125" style="334" customWidth="1"/>
    <col min="13318" max="13318" width="6" style="334" customWidth="1"/>
    <col min="13319" max="13319" width="10" style="334" customWidth="1"/>
    <col min="13320" max="13320" width="13.42578125" style="334" customWidth="1"/>
    <col min="13321" max="13321" width="10" style="334" customWidth="1"/>
    <col min="13322" max="13322" width="13.42578125" style="334" customWidth="1"/>
    <col min="13323" max="13568" width="9.140625" style="334"/>
    <col min="13569" max="13569" width="8.85546875" style="334" customWidth="1"/>
    <col min="13570" max="13570" width="14.140625" style="334" customWidth="1"/>
    <col min="13571" max="13571" width="16.5703125" style="334" customWidth="1"/>
    <col min="13572" max="13572" width="55.7109375" style="334" customWidth="1"/>
    <col min="13573" max="13573" width="10.5703125" style="334" customWidth="1"/>
    <col min="13574" max="13574" width="6" style="334" customWidth="1"/>
    <col min="13575" max="13575" width="10" style="334" customWidth="1"/>
    <col min="13576" max="13576" width="13.42578125" style="334" customWidth="1"/>
    <col min="13577" max="13577" width="10" style="334" customWidth="1"/>
    <col min="13578" max="13578" width="13.42578125" style="334" customWidth="1"/>
    <col min="13579" max="13824" width="9.140625" style="334"/>
    <col min="13825" max="13825" width="8.85546875" style="334" customWidth="1"/>
    <col min="13826" max="13826" width="14.140625" style="334" customWidth="1"/>
    <col min="13827" max="13827" width="16.5703125" style="334" customWidth="1"/>
    <col min="13828" max="13828" width="55.7109375" style="334" customWidth="1"/>
    <col min="13829" max="13829" width="10.5703125" style="334" customWidth="1"/>
    <col min="13830" max="13830" width="6" style="334" customWidth="1"/>
    <col min="13831" max="13831" width="10" style="334" customWidth="1"/>
    <col min="13832" max="13832" width="13.42578125" style="334" customWidth="1"/>
    <col min="13833" max="13833" width="10" style="334" customWidth="1"/>
    <col min="13834" max="13834" width="13.42578125" style="334" customWidth="1"/>
    <col min="13835" max="14080" width="9.140625" style="334"/>
    <col min="14081" max="14081" width="8.85546875" style="334" customWidth="1"/>
    <col min="14082" max="14082" width="14.140625" style="334" customWidth="1"/>
    <col min="14083" max="14083" width="16.5703125" style="334" customWidth="1"/>
    <col min="14084" max="14084" width="55.7109375" style="334" customWidth="1"/>
    <col min="14085" max="14085" width="10.5703125" style="334" customWidth="1"/>
    <col min="14086" max="14086" width="6" style="334" customWidth="1"/>
    <col min="14087" max="14087" width="10" style="334" customWidth="1"/>
    <col min="14088" max="14088" width="13.42578125" style="334" customWidth="1"/>
    <col min="14089" max="14089" width="10" style="334" customWidth="1"/>
    <col min="14090" max="14090" width="13.42578125" style="334" customWidth="1"/>
    <col min="14091" max="14336" width="9.140625" style="334"/>
    <col min="14337" max="14337" width="8.85546875" style="334" customWidth="1"/>
    <col min="14338" max="14338" width="14.140625" style="334" customWidth="1"/>
    <col min="14339" max="14339" width="16.5703125" style="334" customWidth="1"/>
    <col min="14340" max="14340" width="55.7109375" style="334" customWidth="1"/>
    <col min="14341" max="14341" width="10.5703125" style="334" customWidth="1"/>
    <col min="14342" max="14342" width="6" style="334" customWidth="1"/>
    <col min="14343" max="14343" width="10" style="334" customWidth="1"/>
    <col min="14344" max="14344" width="13.42578125" style="334" customWidth="1"/>
    <col min="14345" max="14345" width="10" style="334" customWidth="1"/>
    <col min="14346" max="14346" width="13.42578125" style="334" customWidth="1"/>
    <col min="14347" max="14592" width="9.140625" style="334"/>
    <col min="14593" max="14593" width="8.85546875" style="334" customWidth="1"/>
    <col min="14594" max="14594" width="14.140625" style="334" customWidth="1"/>
    <col min="14595" max="14595" width="16.5703125" style="334" customWidth="1"/>
    <col min="14596" max="14596" width="55.7109375" style="334" customWidth="1"/>
    <col min="14597" max="14597" width="10.5703125" style="334" customWidth="1"/>
    <col min="14598" max="14598" width="6" style="334" customWidth="1"/>
    <col min="14599" max="14599" width="10" style="334" customWidth="1"/>
    <col min="14600" max="14600" width="13.42578125" style="334" customWidth="1"/>
    <col min="14601" max="14601" width="10" style="334" customWidth="1"/>
    <col min="14602" max="14602" width="13.42578125" style="334" customWidth="1"/>
    <col min="14603" max="14848" width="9.140625" style="334"/>
    <col min="14849" max="14849" width="8.85546875" style="334" customWidth="1"/>
    <col min="14850" max="14850" width="14.140625" style="334" customWidth="1"/>
    <col min="14851" max="14851" width="16.5703125" style="334" customWidth="1"/>
    <col min="14852" max="14852" width="55.7109375" style="334" customWidth="1"/>
    <col min="14853" max="14853" width="10.5703125" style="334" customWidth="1"/>
    <col min="14854" max="14854" width="6" style="334" customWidth="1"/>
    <col min="14855" max="14855" width="10" style="334" customWidth="1"/>
    <col min="14856" max="14856" width="13.42578125" style="334" customWidth="1"/>
    <col min="14857" max="14857" width="10" style="334" customWidth="1"/>
    <col min="14858" max="14858" width="13.42578125" style="334" customWidth="1"/>
    <col min="14859" max="15104" width="9.140625" style="334"/>
    <col min="15105" max="15105" width="8.85546875" style="334" customWidth="1"/>
    <col min="15106" max="15106" width="14.140625" style="334" customWidth="1"/>
    <col min="15107" max="15107" width="16.5703125" style="334" customWidth="1"/>
    <col min="15108" max="15108" width="55.7109375" style="334" customWidth="1"/>
    <col min="15109" max="15109" width="10.5703125" style="334" customWidth="1"/>
    <col min="15110" max="15110" width="6" style="334" customWidth="1"/>
    <col min="15111" max="15111" width="10" style="334" customWidth="1"/>
    <col min="15112" max="15112" width="13.42578125" style="334" customWidth="1"/>
    <col min="15113" max="15113" width="10" style="334" customWidth="1"/>
    <col min="15114" max="15114" width="13.42578125" style="334" customWidth="1"/>
    <col min="15115" max="15360" width="9.140625" style="334"/>
    <col min="15361" max="15361" width="8.85546875" style="334" customWidth="1"/>
    <col min="15362" max="15362" width="14.140625" style="334" customWidth="1"/>
    <col min="15363" max="15363" width="16.5703125" style="334" customWidth="1"/>
    <col min="15364" max="15364" width="55.7109375" style="334" customWidth="1"/>
    <col min="15365" max="15365" width="10.5703125" style="334" customWidth="1"/>
    <col min="15366" max="15366" width="6" style="334" customWidth="1"/>
    <col min="15367" max="15367" width="10" style="334" customWidth="1"/>
    <col min="15368" max="15368" width="13.42578125" style="334" customWidth="1"/>
    <col min="15369" max="15369" width="10" style="334" customWidth="1"/>
    <col min="15370" max="15370" width="13.42578125" style="334" customWidth="1"/>
    <col min="15371" max="15616" width="9.140625" style="334"/>
    <col min="15617" max="15617" width="8.85546875" style="334" customWidth="1"/>
    <col min="15618" max="15618" width="14.140625" style="334" customWidth="1"/>
    <col min="15619" max="15619" width="16.5703125" style="334" customWidth="1"/>
    <col min="15620" max="15620" width="55.7109375" style="334" customWidth="1"/>
    <col min="15621" max="15621" width="10.5703125" style="334" customWidth="1"/>
    <col min="15622" max="15622" width="6" style="334" customWidth="1"/>
    <col min="15623" max="15623" width="10" style="334" customWidth="1"/>
    <col min="15624" max="15624" width="13.42578125" style="334" customWidth="1"/>
    <col min="15625" max="15625" width="10" style="334" customWidth="1"/>
    <col min="15626" max="15626" width="13.42578125" style="334" customWidth="1"/>
    <col min="15627" max="15872" width="9.140625" style="334"/>
    <col min="15873" max="15873" width="8.85546875" style="334" customWidth="1"/>
    <col min="15874" max="15874" width="14.140625" style="334" customWidth="1"/>
    <col min="15875" max="15875" width="16.5703125" style="334" customWidth="1"/>
    <col min="15876" max="15876" width="55.7109375" style="334" customWidth="1"/>
    <col min="15877" max="15877" width="10.5703125" style="334" customWidth="1"/>
    <col min="15878" max="15878" width="6" style="334" customWidth="1"/>
    <col min="15879" max="15879" width="10" style="334" customWidth="1"/>
    <col min="15880" max="15880" width="13.42578125" style="334" customWidth="1"/>
    <col min="15881" max="15881" width="10" style="334" customWidth="1"/>
    <col min="15882" max="15882" width="13.42578125" style="334" customWidth="1"/>
    <col min="15883" max="16128" width="9.140625" style="334"/>
    <col min="16129" max="16129" width="8.85546875" style="334" customWidth="1"/>
    <col min="16130" max="16130" width="14.140625" style="334" customWidth="1"/>
    <col min="16131" max="16131" width="16.5703125" style="334" customWidth="1"/>
    <col min="16132" max="16132" width="55.7109375" style="334" customWidth="1"/>
    <col min="16133" max="16133" width="10.5703125" style="334" customWidth="1"/>
    <col min="16134" max="16134" width="6" style="334" customWidth="1"/>
    <col min="16135" max="16135" width="10" style="334" customWidth="1"/>
    <col min="16136" max="16136" width="13.42578125" style="334" customWidth="1"/>
    <col min="16137" max="16137" width="10" style="334" customWidth="1"/>
    <col min="16138" max="16138" width="13.42578125" style="334" customWidth="1"/>
    <col min="16139" max="16384" width="9.140625" style="334"/>
  </cols>
  <sheetData>
    <row r="1" spans="1:13" ht="25.15" customHeight="1">
      <c r="A1" s="796" t="s">
        <v>13</v>
      </c>
      <c r="B1" s="796"/>
      <c r="C1" s="796"/>
      <c r="D1" s="796"/>
      <c r="E1" s="796"/>
      <c r="F1" s="215"/>
      <c r="G1" s="333"/>
      <c r="H1" s="333"/>
      <c r="I1" s="333"/>
    </row>
    <row r="2" spans="1:13" ht="20.45" customHeight="1">
      <c r="A2" s="767" t="s">
        <v>14</v>
      </c>
      <c r="B2" s="767"/>
      <c r="C2" s="767"/>
      <c r="D2" s="767"/>
      <c r="E2" s="767"/>
      <c r="F2" s="212"/>
      <c r="G2" s="333"/>
      <c r="H2" s="333"/>
      <c r="I2" s="333"/>
    </row>
    <row r="3" spans="1:13" ht="15.6" customHeight="1">
      <c r="A3" s="694" t="s">
        <v>15</v>
      </c>
      <c r="B3" s="694"/>
      <c r="C3" s="694"/>
      <c r="D3" s="694"/>
      <c r="E3" s="694"/>
      <c r="F3" s="215"/>
      <c r="G3" s="333"/>
      <c r="H3" s="333"/>
      <c r="I3" s="333"/>
    </row>
    <row r="4" spans="1:13" ht="15.75">
      <c r="A4" s="217" t="s">
        <v>16</v>
      </c>
      <c r="B4" s="217"/>
      <c r="C4" s="84"/>
      <c r="D4" s="85"/>
      <c r="E4" s="695" t="s">
        <v>17</v>
      </c>
      <c r="F4" s="695"/>
      <c r="G4" s="695"/>
      <c r="H4" s="333"/>
      <c r="I4" s="333"/>
    </row>
    <row r="5" spans="1:13" ht="20.45" customHeight="1">
      <c r="A5" s="697" t="str">
        <f>'Estimativa LABMETRO e USIMEC'!A5:C5</f>
        <v>REFORMA DO LABMETRO E USIMEC - ESCOLA POLITÉCNICA - UFBA</v>
      </c>
      <c r="B5" s="697"/>
      <c r="C5" s="697"/>
      <c r="D5" s="697"/>
      <c r="E5" s="797" t="s">
        <v>516</v>
      </c>
      <c r="F5" s="798"/>
      <c r="G5" s="798"/>
      <c r="H5" s="333"/>
      <c r="I5" s="333"/>
    </row>
    <row r="6" spans="1:13" ht="15.6" customHeight="1">
      <c r="A6" s="701" t="s">
        <v>18</v>
      </c>
      <c r="B6" s="701"/>
      <c r="C6" s="701"/>
      <c r="D6" s="87"/>
      <c r="E6" s="695" t="s">
        <v>123</v>
      </c>
      <c r="F6" s="695"/>
      <c r="G6" s="695"/>
      <c r="H6" s="333"/>
      <c r="I6" s="333"/>
    </row>
    <row r="7" spans="1:13" ht="15.75">
      <c r="A7" s="335" t="str">
        <f>[4]SERVIÇOS!A7</f>
        <v>Campus Universitário da Federação, Salvador, Bahia</v>
      </c>
      <c r="B7" s="335"/>
      <c r="C7" s="335"/>
      <c r="D7" s="186"/>
      <c r="E7" s="799">
        <f>'Estimativa LABMETRO e USIMEC'!D7</f>
        <v>399.52</v>
      </c>
      <c r="F7" s="799"/>
      <c r="G7" s="799"/>
      <c r="H7" s="333"/>
      <c r="I7" s="333"/>
    </row>
    <row r="8" spans="1:13" ht="13.5" thickBot="1"/>
    <row r="9" spans="1:13" ht="40.5" customHeight="1" thickBot="1">
      <c r="A9" s="800" t="s">
        <v>175</v>
      </c>
      <c r="B9" s="801"/>
      <c r="C9" s="801"/>
      <c r="D9" s="801"/>
      <c r="E9" s="801"/>
      <c r="F9" s="801"/>
      <c r="G9" s="801"/>
      <c r="H9" s="801"/>
      <c r="I9" s="801"/>
      <c r="J9" s="802"/>
      <c r="K9" s="336"/>
      <c r="L9" s="336"/>
      <c r="M9" s="336"/>
    </row>
    <row r="10" spans="1:13" ht="16.5" thickBot="1">
      <c r="A10" s="803" t="s">
        <v>176</v>
      </c>
      <c r="B10" s="804"/>
      <c r="C10" s="804"/>
      <c r="D10" s="804"/>
      <c r="E10" s="804"/>
      <c r="F10" s="804"/>
      <c r="G10" s="804"/>
      <c r="H10" s="804"/>
      <c r="I10" s="804"/>
      <c r="J10" s="805"/>
    </row>
    <row r="11" spans="1:13" ht="13.5" customHeight="1" thickBot="1">
      <c r="A11" s="814" t="s">
        <v>177</v>
      </c>
      <c r="B11" s="815"/>
      <c r="C11" s="820" t="s">
        <v>178</v>
      </c>
      <c r="D11" s="821"/>
      <c r="E11" s="821"/>
      <c r="F11" s="821"/>
      <c r="G11" s="826" t="s">
        <v>179</v>
      </c>
      <c r="H11" s="827"/>
      <c r="I11" s="826" t="s">
        <v>180</v>
      </c>
      <c r="J11" s="828"/>
    </row>
    <row r="12" spans="1:13" ht="12.75" customHeight="1">
      <c r="A12" s="816"/>
      <c r="B12" s="817"/>
      <c r="C12" s="822"/>
      <c r="D12" s="823"/>
      <c r="E12" s="823"/>
      <c r="F12" s="823"/>
      <c r="G12" s="806" t="s">
        <v>181</v>
      </c>
      <c r="H12" s="806" t="s">
        <v>182</v>
      </c>
      <c r="I12" s="806" t="s">
        <v>181</v>
      </c>
      <c r="J12" s="806" t="s">
        <v>182</v>
      </c>
    </row>
    <row r="13" spans="1:13" ht="13.5" customHeight="1" thickBot="1">
      <c r="A13" s="818"/>
      <c r="B13" s="819"/>
      <c r="C13" s="824"/>
      <c r="D13" s="825"/>
      <c r="E13" s="825"/>
      <c r="F13" s="825"/>
      <c r="G13" s="807"/>
      <c r="H13" s="807"/>
      <c r="I13" s="807"/>
      <c r="J13" s="807"/>
    </row>
    <row r="14" spans="1:13" ht="16.5" thickBot="1">
      <c r="A14" s="808" t="s">
        <v>183</v>
      </c>
      <c r="B14" s="809"/>
      <c r="C14" s="809"/>
      <c r="D14" s="809"/>
      <c r="E14" s="809"/>
      <c r="F14" s="809"/>
      <c r="G14" s="809"/>
      <c r="H14" s="809"/>
      <c r="I14" s="809"/>
      <c r="J14" s="810"/>
    </row>
    <row r="15" spans="1:13" ht="15">
      <c r="A15" s="811" t="s">
        <v>139</v>
      </c>
      <c r="B15" s="812"/>
      <c r="C15" s="813" t="s">
        <v>184</v>
      </c>
      <c r="D15" s="813"/>
      <c r="E15" s="813"/>
      <c r="F15" s="813"/>
      <c r="G15" s="337">
        <v>0</v>
      </c>
      <c r="H15" s="337">
        <v>0</v>
      </c>
      <c r="I15" s="337">
        <v>20</v>
      </c>
      <c r="J15" s="338">
        <v>20</v>
      </c>
      <c r="K15" s="339"/>
    </row>
    <row r="16" spans="1:13" ht="15">
      <c r="A16" s="829" t="s">
        <v>141</v>
      </c>
      <c r="B16" s="830"/>
      <c r="C16" s="831" t="s">
        <v>185</v>
      </c>
      <c r="D16" s="831"/>
      <c r="E16" s="831"/>
      <c r="F16" s="831"/>
      <c r="G16" s="340">
        <v>1.5</v>
      </c>
      <c r="H16" s="340">
        <v>1.5</v>
      </c>
      <c r="I16" s="340">
        <v>1.5</v>
      </c>
      <c r="J16" s="341">
        <v>1.5</v>
      </c>
      <c r="K16" s="339"/>
    </row>
    <row r="17" spans="1:11" ht="15">
      <c r="A17" s="829" t="s">
        <v>143</v>
      </c>
      <c r="B17" s="830"/>
      <c r="C17" s="831" t="s">
        <v>186</v>
      </c>
      <c r="D17" s="831"/>
      <c r="E17" s="831"/>
      <c r="F17" s="831"/>
      <c r="G17" s="340">
        <v>1</v>
      </c>
      <c r="H17" s="340">
        <v>1</v>
      </c>
      <c r="I17" s="340">
        <v>1</v>
      </c>
      <c r="J17" s="341">
        <v>1</v>
      </c>
      <c r="K17" s="339"/>
    </row>
    <row r="18" spans="1:11" ht="15">
      <c r="A18" s="829" t="s">
        <v>145</v>
      </c>
      <c r="B18" s="830"/>
      <c r="C18" s="831" t="s">
        <v>187</v>
      </c>
      <c r="D18" s="831"/>
      <c r="E18" s="831"/>
      <c r="F18" s="831"/>
      <c r="G18" s="340">
        <v>0.2</v>
      </c>
      <c r="H18" s="340">
        <v>0.2</v>
      </c>
      <c r="I18" s="340">
        <v>0.2</v>
      </c>
      <c r="J18" s="341">
        <v>0.2</v>
      </c>
      <c r="K18" s="339"/>
    </row>
    <row r="19" spans="1:11" ht="15">
      <c r="A19" s="829" t="s">
        <v>188</v>
      </c>
      <c r="B19" s="830"/>
      <c r="C19" s="831" t="s">
        <v>189</v>
      </c>
      <c r="D19" s="831"/>
      <c r="E19" s="831"/>
      <c r="F19" s="831"/>
      <c r="G19" s="340">
        <v>0.6</v>
      </c>
      <c r="H19" s="340">
        <v>0.6</v>
      </c>
      <c r="I19" s="340">
        <v>0.6</v>
      </c>
      <c r="J19" s="341">
        <v>0.6</v>
      </c>
      <c r="K19" s="339"/>
    </row>
    <row r="20" spans="1:11" ht="15">
      <c r="A20" s="829" t="s">
        <v>190</v>
      </c>
      <c r="B20" s="830"/>
      <c r="C20" s="831" t="s">
        <v>191</v>
      </c>
      <c r="D20" s="831"/>
      <c r="E20" s="831"/>
      <c r="F20" s="831"/>
      <c r="G20" s="340">
        <v>2.5</v>
      </c>
      <c r="H20" s="340">
        <v>2.5</v>
      </c>
      <c r="I20" s="340">
        <v>2.5</v>
      </c>
      <c r="J20" s="341">
        <v>2.5</v>
      </c>
      <c r="K20" s="339"/>
    </row>
    <row r="21" spans="1:11" ht="15">
      <c r="A21" s="829" t="s">
        <v>192</v>
      </c>
      <c r="B21" s="830"/>
      <c r="C21" s="831" t="s">
        <v>193</v>
      </c>
      <c r="D21" s="831"/>
      <c r="E21" s="831"/>
      <c r="F21" s="831"/>
      <c r="G21" s="340">
        <v>3</v>
      </c>
      <c r="H21" s="340">
        <v>3</v>
      </c>
      <c r="I21" s="340">
        <v>3</v>
      </c>
      <c r="J21" s="341">
        <v>3</v>
      </c>
      <c r="K21" s="339"/>
    </row>
    <row r="22" spans="1:11" ht="15">
      <c r="A22" s="829" t="s">
        <v>194</v>
      </c>
      <c r="B22" s="830"/>
      <c r="C22" s="831" t="s">
        <v>195</v>
      </c>
      <c r="D22" s="831"/>
      <c r="E22" s="831"/>
      <c r="F22" s="831"/>
      <c r="G22" s="340">
        <v>8</v>
      </c>
      <c r="H22" s="340">
        <v>8</v>
      </c>
      <c r="I22" s="340">
        <v>8</v>
      </c>
      <c r="J22" s="341">
        <v>8</v>
      </c>
      <c r="K22" s="339"/>
    </row>
    <row r="23" spans="1:11" ht="15.75" thickBot="1">
      <c r="A23" s="832" t="s">
        <v>196</v>
      </c>
      <c r="B23" s="833"/>
      <c r="C23" s="834" t="s">
        <v>197</v>
      </c>
      <c r="D23" s="834"/>
      <c r="E23" s="834"/>
      <c r="F23" s="834"/>
      <c r="G23" s="342">
        <v>0</v>
      </c>
      <c r="H23" s="342">
        <v>0</v>
      </c>
      <c r="I23" s="342">
        <v>0</v>
      </c>
      <c r="J23" s="343">
        <v>0</v>
      </c>
      <c r="K23" s="339"/>
    </row>
    <row r="24" spans="1:11" ht="16.5" thickBot="1">
      <c r="A24" s="835" t="s">
        <v>198</v>
      </c>
      <c r="B24" s="836"/>
      <c r="C24" s="836" t="s">
        <v>199</v>
      </c>
      <c r="D24" s="836"/>
      <c r="E24" s="836"/>
      <c r="F24" s="836"/>
      <c r="G24" s="344">
        <f>SUM(G15:G23)</f>
        <v>16.8</v>
      </c>
      <c r="H24" s="344">
        <f>SUM(H15:H23)</f>
        <v>16.8</v>
      </c>
      <c r="I24" s="344">
        <f>SUM(I15:I23)</f>
        <v>36.799999999999997</v>
      </c>
      <c r="J24" s="345">
        <f>SUM(J15:J23)</f>
        <v>36.799999999999997</v>
      </c>
      <c r="K24" s="339"/>
    </row>
    <row r="25" spans="1:11" ht="16.5" thickBot="1">
      <c r="A25" s="808" t="s">
        <v>200</v>
      </c>
      <c r="B25" s="809"/>
      <c r="C25" s="809"/>
      <c r="D25" s="809"/>
      <c r="E25" s="809"/>
      <c r="F25" s="809"/>
      <c r="G25" s="809"/>
      <c r="H25" s="809"/>
      <c r="I25" s="809"/>
      <c r="J25" s="810"/>
      <c r="K25" s="339"/>
    </row>
    <row r="26" spans="1:11" ht="15">
      <c r="A26" s="811" t="s">
        <v>201</v>
      </c>
      <c r="B26" s="812"/>
      <c r="C26" s="813" t="s">
        <v>202</v>
      </c>
      <c r="D26" s="813"/>
      <c r="E26" s="813"/>
      <c r="F26" s="813"/>
      <c r="G26" s="337">
        <v>17.98</v>
      </c>
      <c r="H26" s="337">
        <v>0</v>
      </c>
      <c r="I26" s="337">
        <v>17.98</v>
      </c>
      <c r="J26" s="338">
        <v>0</v>
      </c>
      <c r="K26" s="339"/>
    </row>
    <row r="27" spans="1:11" ht="15">
      <c r="A27" s="829" t="s">
        <v>203</v>
      </c>
      <c r="B27" s="830"/>
      <c r="C27" s="831" t="s">
        <v>204</v>
      </c>
      <c r="D27" s="831"/>
      <c r="E27" s="831"/>
      <c r="F27" s="831"/>
      <c r="G27" s="340">
        <v>3.97</v>
      </c>
      <c r="H27" s="340">
        <v>0</v>
      </c>
      <c r="I27" s="340">
        <v>3.97</v>
      </c>
      <c r="J27" s="341">
        <v>0</v>
      </c>
      <c r="K27" s="339"/>
    </row>
    <row r="28" spans="1:11" ht="15">
      <c r="A28" s="829" t="s">
        <v>205</v>
      </c>
      <c r="B28" s="830"/>
      <c r="C28" s="831" t="s">
        <v>206</v>
      </c>
      <c r="D28" s="831"/>
      <c r="E28" s="831"/>
      <c r="F28" s="831"/>
      <c r="G28" s="340">
        <v>0.93</v>
      </c>
      <c r="H28" s="340">
        <v>0.71</v>
      </c>
      <c r="I28" s="340">
        <v>0.93</v>
      </c>
      <c r="J28" s="341">
        <v>0.71</v>
      </c>
      <c r="K28" s="339"/>
    </row>
    <row r="29" spans="1:11" ht="15">
      <c r="A29" s="829" t="s">
        <v>207</v>
      </c>
      <c r="B29" s="830"/>
      <c r="C29" s="831" t="s">
        <v>208</v>
      </c>
      <c r="D29" s="831"/>
      <c r="E29" s="831"/>
      <c r="F29" s="831"/>
      <c r="G29" s="340">
        <v>10.94</v>
      </c>
      <c r="H29" s="340">
        <v>8.33</v>
      </c>
      <c r="I29" s="340">
        <v>10.94</v>
      </c>
      <c r="J29" s="341">
        <v>8.33</v>
      </c>
      <c r="K29" s="339"/>
    </row>
    <row r="30" spans="1:11" ht="15">
      <c r="A30" s="829" t="s">
        <v>209</v>
      </c>
      <c r="B30" s="830"/>
      <c r="C30" s="831" t="s">
        <v>210</v>
      </c>
      <c r="D30" s="831"/>
      <c r="E30" s="831"/>
      <c r="F30" s="831"/>
      <c r="G30" s="340">
        <v>7.0000000000000007E-2</v>
      </c>
      <c r="H30" s="340">
        <v>0.06</v>
      </c>
      <c r="I30" s="340">
        <v>7.0000000000000007E-2</v>
      </c>
      <c r="J30" s="341">
        <v>0.06</v>
      </c>
      <c r="K30" s="339"/>
    </row>
    <row r="31" spans="1:11" ht="15">
      <c r="A31" s="829" t="s">
        <v>211</v>
      </c>
      <c r="B31" s="830"/>
      <c r="C31" s="831" t="s">
        <v>212</v>
      </c>
      <c r="D31" s="831"/>
      <c r="E31" s="831"/>
      <c r="F31" s="831"/>
      <c r="G31" s="340">
        <v>0.73</v>
      </c>
      <c r="H31" s="340">
        <v>0.56000000000000005</v>
      </c>
      <c r="I31" s="340">
        <v>0.73</v>
      </c>
      <c r="J31" s="341">
        <v>0.56000000000000005</v>
      </c>
      <c r="K31" s="339"/>
    </row>
    <row r="32" spans="1:11" ht="15">
      <c r="A32" s="829" t="s">
        <v>213</v>
      </c>
      <c r="B32" s="830"/>
      <c r="C32" s="831" t="s">
        <v>214</v>
      </c>
      <c r="D32" s="831"/>
      <c r="E32" s="831"/>
      <c r="F32" s="831"/>
      <c r="G32" s="340">
        <v>2.0299999999999998</v>
      </c>
      <c r="H32" s="340">
        <v>0</v>
      </c>
      <c r="I32" s="340">
        <v>2.0299999999999998</v>
      </c>
      <c r="J32" s="341">
        <v>0</v>
      </c>
      <c r="K32" s="339"/>
    </row>
    <row r="33" spans="1:11" ht="15">
      <c r="A33" s="829" t="s">
        <v>215</v>
      </c>
      <c r="B33" s="830"/>
      <c r="C33" s="831" t="s">
        <v>216</v>
      </c>
      <c r="D33" s="831"/>
      <c r="E33" s="831"/>
      <c r="F33" s="831"/>
      <c r="G33" s="340">
        <v>0.11</v>
      </c>
      <c r="H33" s="340">
        <v>0.09</v>
      </c>
      <c r="I33" s="340">
        <v>0.11</v>
      </c>
      <c r="J33" s="341">
        <v>0.09</v>
      </c>
      <c r="K33" s="339"/>
    </row>
    <row r="34" spans="1:11" ht="15">
      <c r="A34" s="829" t="s">
        <v>217</v>
      </c>
      <c r="B34" s="830"/>
      <c r="C34" s="831" t="s">
        <v>218</v>
      </c>
      <c r="D34" s="831"/>
      <c r="E34" s="831"/>
      <c r="F34" s="831"/>
      <c r="G34" s="340">
        <v>9.7100000000000009</v>
      </c>
      <c r="H34" s="340">
        <v>7.4</v>
      </c>
      <c r="I34" s="340">
        <v>9.7100000000000009</v>
      </c>
      <c r="J34" s="341">
        <v>7.4</v>
      </c>
      <c r="K34" s="339"/>
    </row>
    <row r="35" spans="1:11" ht="15.75" thickBot="1">
      <c r="A35" s="832" t="s">
        <v>219</v>
      </c>
      <c r="B35" s="833"/>
      <c r="C35" s="834" t="s">
        <v>220</v>
      </c>
      <c r="D35" s="834"/>
      <c r="E35" s="834"/>
      <c r="F35" s="834"/>
      <c r="G35" s="342">
        <v>0.03</v>
      </c>
      <c r="H35" s="342">
        <v>0.02</v>
      </c>
      <c r="I35" s="342">
        <v>0.03</v>
      </c>
      <c r="J35" s="343">
        <v>0.02</v>
      </c>
      <c r="K35" s="339"/>
    </row>
    <row r="36" spans="1:11" ht="16.5" thickBot="1">
      <c r="A36" s="835" t="s">
        <v>221</v>
      </c>
      <c r="B36" s="836"/>
      <c r="C36" s="836" t="s">
        <v>199</v>
      </c>
      <c r="D36" s="836"/>
      <c r="E36" s="836"/>
      <c r="F36" s="836"/>
      <c r="G36" s="344">
        <f>SUM(G26:G35)</f>
        <v>46.5</v>
      </c>
      <c r="H36" s="344">
        <f>SUM(H26:H35)</f>
        <v>17.169999999999998</v>
      </c>
      <c r="I36" s="344">
        <f>SUM(I26:I35)</f>
        <v>46.5</v>
      </c>
      <c r="J36" s="345">
        <f>SUM(J26:J35)</f>
        <v>17.169999999999998</v>
      </c>
      <c r="K36" s="339"/>
    </row>
    <row r="37" spans="1:11" ht="16.5" thickBot="1">
      <c r="A37" s="808" t="s">
        <v>222</v>
      </c>
      <c r="B37" s="809"/>
      <c r="C37" s="809"/>
      <c r="D37" s="809"/>
      <c r="E37" s="809"/>
      <c r="F37" s="809"/>
      <c r="G37" s="809"/>
      <c r="H37" s="809"/>
      <c r="I37" s="809"/>
      <c r="J37" s="810"/>
      <c r="K37" s="339"/>
    </row>
    <row r="38" spans="1:11" ht="15">
      <c r="A38" s="811" t="s">
        <v>223</v>
      </c>
      <c r="B38" s="812"/>
      <c r="C38" s="813" t="s">
        <v>224</v>
      </c>
      <c r="D38" s="813"/>
      <c r="E38" s="813"/>
      <c r="F38" s="813"/>
      <c r="G38" s="346">
        <v>6.12</v>
      </c>
      <c r="H38" s="346">
        <v>4.66</v>
      </c>
      <c r="I38" s="346">
        <v>6.12</v>
      </c>
      <c r="J38" s="347">
        <v>4.66</v>
      </c>
      <c r="K38" s="339"/>
    </row>
    <row r="39" spans="1:11" ht="15">
      <c r="A39" s="829" t="s">
        <v>225</v>
      </c>
      <c r="B39" s="830"/>
      <c r="C39" s="831" t="s">
        <v>226</v>
      </c>
      <c r="D39" s="831"/>
      <c r="E39" s="831"/>
      <c r="F39" s="831"/>
      <c r="G39" s="348">
        <v>0.14000000000000001</v>
      </c>
      <c r="H39" s="348">
        <v>0.11</v>
      </c>
      <c r="I39" s="348">
        <v>0.14000000000000001</v>
      </c>
      <c r="J39" s="349">
        <v>0.11</v>
      </c>
      <c r="K39" s="339"/>
    </row>
    <row r="40" spans="1:11" ht="15">
      <c r="A40" s="829" t="s">
        <v>227</v>
      </c>
      <c r="B40" s="830"/>
      <c r="C40" s="831" t="s">
        <v>228</v>
      </c>
      <c r="D40" s="831"/>
      <c r="E40" s="831"/>
      <c r="F40" s="831"/>
      <c r="G40" s="348">
        <v>4.12</v>
      </c>
      <c r="H40" s="348">
        <v>3.14</v>
      </c>
      <c r="I40" s="348">
        <v>4.12</v>
      </c>
      <c r="J40" s="349">
        <v>3.14</v>
      </c>
      <c r="K40" s="339"/>
    </row>
    <row r="41" spans="1:11" ht="15">
      <c r="A41" s="829" t="s">
        <v>229</v>
      </c>
      <c r="B41" s="830"/>
      <c r="C41" s="831" t="s">
        <v>230</v>
      </c>
      <c r="D41" s="831"/>
      <c r="E41" s="831"/>
      <c r="F41" s="831"/>
      <c r="G41" s="348">
        <v>5.01</v>
      </c>
      <c r="H41" s="348">
        <v>3.82</v>
      </c>
      <c r="I41" s="348">
        <v>5.01</v>
      </c>
      <c r="J41" s="349">
        <v>3.82</v>
      </c>
      <c r="K41" s="339"/>
    </row>
    <row r="42" spans="1:11" ht="15.75" thickBot="1">
      <c r="A42" s="832" t="s">
        <v>231</v>
      </c>
      <c r="B42" s="833"/>
      <c r="C42" s="834" t="s">
        <v>232</v>
      </c>
      <c r="D42" s="834"/>
      <c r="E42" s="834"/>
      <c r="F42" s="834"/>
      <c r="G42" s="350">
        <v>0.51</v>
      </c>
      <c r="H42" s="350">
        <v>0.39</v>
      </c>
      <c r="I42" s="350">
        <v>0.51</v>
      </c>
      <c r="J42" s="351">
        <v>0.39</v>
      </c>
      <c r="K42" s="339"/>
    </row>
    <row r="43" spans="1:11" ht="16.5" thickBot="1">
      <c r="A43" s="835" t="s">
        <v>233</v>
      </c>
      <c r="B43" s="836"/>
      <c r="C43" s="836" t="s">
        <v>199</v>
      </c>
      <c r="D43" s="836"/>
      <c r="E43" s="836"/>
      <c r="F43" s="836"/>
      <c r="G43" s="352">
        <f>SUM(G38:G42)</f>
        <v>15.899999999999999</v>
      </c>
      <c r="H43" s="352">
        <f>SUM(H38:H42)</f>
        <v>12.120000000000001</v>
      </c>
      <c r="I43" s="352">
        <f>SUM(I38:I42)</f>
        <v>15.899999999999999</v>
      </c>
      <c r="J43" s="353">
        <f>SUM(J38:J42)</f>
        <v>12.120000000000001</v>
      </c>
    </row>
    <row r="44" spans="1:11" ht="16.5" thickBot="1">
      <c r="A44" s="808" t="s">
        <v>234</v>
      </c>
      <c r="B44" s="809"/>
      <c r="C44" s="809"/>
      <c r="D44" s="809"/>
      <c r="E44" s="809"/>
      <c r="F44" s="809"/>
      <c r="G44" s="809"/>
      <c r="H44" s="809"/>
      <c r="I44" s="809"/>
      <c r="J44" s="810"/>
    </row>
    <row r="45" spans="1:11">
      <c r="A45" s="811" t="s">
        <v>235</v>
      </c>
      <c r="B45" s="812"/>
      <c r="C45" s="813" t="s">
        <v>236</v>
      </c>
      <c r="D45" s="813"/>
      <c r="E45" s="813"/>
      <c r="F45" s="813"/>
      <c r="G45" s="346">
        <v>7.81</v>
      </c>
      <c r="H45" s="346">
        <v>2.88</v>
      </c>
      <c r="I45" s="346">
        <v>17.11</v>
      </c>
      <c r="J45" s="347">
        <v>6.32</v>
      </c>
    </row>
    <row r="46" spans="1:11" ht="44.25" customHeight="1" thickBot="1">
      <c r="A46" s="832" t="s">
        <v>237</v>
      </c>
      <c r="B46" s="833"/>
      <c r="C46" s="837" t="s">
        <v>238</v>
      </c>
      <c r="D46" s="837"/>
      <c r="E46" s="837"/>
      <c r="F46" s="837"/>
      <c r="G46" s="350">
        <v>0.51</v>
      </c>
      <c r="H46" s="350">
        <v>0.39</v>
      </c>
      <c r="I46" s="350">
        <v>0.54</v>
      </c>
      <c r="J46" s="351">
        <v>0.41</v>
      </c>
    </row>
    <row r="47" spans="1:11" ht="16.5" thickBot="1">
      <c r="A47" s="835" t="s">
        <v>239</v>
      </c>
      <c r="B47" s="836"/>
      <c r="C47" s="836" t="s">
        <v>199</v>
      </c>
      <c r="D47" s="836"/>
      <c r="E47" s="836"/>
      <c r="F47" s="836"/>
      <c r="G47" s="352">
        <f>SUM(G45:G46)</f>
        <v>8.32</v>
      </c>
      <c r="H47" s="352">
        <f>SUM(H45:H46)</f>
        <v>3.27</v>
      </c>
      <c r="I47" s="352">
        <f>SUM(I45:I46)</f>
        <v>17.649999999999999</v>
      </c>
      <c r="J47" s="353">
        <f>SUM(J45:J46)</f>
        <v>6.73</v>
      </c>
    </row>
    <row r="48" spans="1:11" ht="16.5" thickBot="1">
      <c r="A48" s="354"/>
      <c r="B48" s="355"/>
      <c r="C48" s="355"/>
      <c r="D48" s="355"/>
      <c r="E48" s="355"/>
      <c r="F48" s="355"/>
      <c r="G48" s="356"/>
      <c r="H48" s="356"/>
      <c r="I48" s="356"/>
      <c r="J48" s="357"/>
    </row>
    <row r="49" spans="1:10" ht="16.5" thickBot="1">
      <c r="A49" s="838"/>
      <c r="B49" s="839"/>
      <c r="C49" s="839" t="s">
        <v>240</v>
      </c>
      <c r="D49" s="839"/>
      <c r="E49" s="839"/>
      <c r="F49" s="839"/>
      <c r="G49" s="358">
        <f>G24+G36+G43+G47</f>
        <v>87.519999999999982</v>
      </c>
      <c r="H49" s="358">
        <f>H24+H36+H43+H47</f>
        <v>49.360000000000007</v>
      </c>
      <c r="I49" s="358">
        <f>I24+I36+I43+I47</f>
        <v>116.85</v>
      </c>
      <c r="J49" s="359">
        <f>J24+J36+J43+J47</f>
        <v>72.820000000000007</v>
      </c>
    </row>
    <row r="62" spans="1:10">
      <c r="B62" s="334" t="s">
        <v>241</v>
      </c>
    </row>
  </sheetData>
  <mergeCells count="85">
    <mergeCell ref="A46:B46"/>
    <mergeCell ref="C46:F46"/>
    <mergeCell ref="A47:B47"/>
    <mergeCell ref="C47:F47"/>
    <mergeCell ref="A49:B49"/>
    <mergeCell ref="C49:F49"/>
    <mergeCell ref="A45:B45"/>
    <mergeCell ref="C45:F45"/>
    <mergeCell ref="A39:B39"/>
    <mergeCell ref="C39:F39"/>
    <mergeCell ref="A40:B40"/>
    <mergeCell ref="C40:F40"/>
    <mergeCell ref="A41:B41"/>
    <mergeCell ref="C41:F41"/>
    <mergeCell ref="A42:B42"/>
    <mergeCell ref="C42:F42"/>
    <mergeCell ref="A43:B43"/>
    <mergeCell ref="C43:F43"/>
    <mergeCell ref="A44:J44"/>
    <mergeCell ref="A38:B38"/>
    <mergeCell ref="C38:F38"/>
    <mergeCell ref="A32:B32"/>
    <mergeCell ref="C32:F32"/>
    <mergeCell ref="A33:B33"/>
    <mergeCell ref="C33:F33"/>
    <mergeCell ref="A34:B34"/>
    <mergeCell ref="C34:F34"/>
    <mergeCell ref="A35:B35"/>
    <mergeCell ref="C35:F35"/>
    <mergeCell ref="A36:B36"/>
    <mergeCell ref="C36:F36"/>
    <mergeCell ref="A37:J37"/>
    <mergeCell ref="A29:B29"/>
    <mergeCell ref="C29:F29"/>
    <mergeCell ref="A30:B30"/>
    <mergeCell ref="C30:F30"/>
    <mergeCell ref="A31:B31"/>
    <mergeCell ref="C31:F31"/>
    <mergeCell ref="A28:B28"/>
    <mergeCell ref="C28:F28"/>
    <mergeCell ref="A22:B22"/>
    <mergeCell ref="C22:F22"/>
    <mergeCell ref="A23:B23"/>
    <mergeCell ref="C23:F23"/>
    <mergeCell ref="A24:B24"/>
    <mergeCell ref="C24:F24"/>
    <mergeCell ref="A25:J25"/>
    <mergeCell ref="A26:B26"/>
    <mergeCell ref="C26:F26"/>
    <mergeCell ref="A27:B27"/>
    <mergeCell ref="C27:F27"/>
    <mergeCell ref="A19:B19"/>
    <mergeCell ref="C19:F19"/>
    <mergeCell ref="A20:B20"/>
    <mergeCell ref="C20:F20"/>
    <mergeCell ref="A21:B21"/>
    <mergeCell ref="C21:F21"/>
    <mergeCell ref="A16:B16"/>
    <mergeCell ref="C16:F16"/>
    <mergeCell ref="A17:B17"/>
    <mergeCell ref="C17:F17"/>
    <mergeCell ref="A18:B18"/>
    <mergeCell ref="C18:F18"/>
    <mergeCell ref="H12:H13"/>
    <mergeCell ref="I12:I13"/>
    <mergeCell ref="J12:J13"/>
    <mergeCell ref="A14:J14"/>
    <mergeCell ref="A15:B15"/>
    <mergeCell ref="C15:F15"/>
    <mergeCell ref="A11:B13"/>
    <mergeCell ref="C11:F13"/>
    <mergeCell ref="G11:H11"/>
    <mergeCell ref="I11:J11"/>
    <mergeCell ref="G12:G13"/>
    <mergeCell ref="A6:C6"/>
    <mergeCell ref="E6:G6"/>
    <mergeCell ref="E7:G7"/>
    <mergeCell ref="A9:J9"/>
    <mergeCell ref="A10:J10"/>
    <mergeCell ref="A1:E1"/>
    <mergeCell ref="A3:E3"/>
    <mergeCell ref="E4:G4"/>
    <mergeCell ref="A5:D5"/>
    <mergeCell ref="E5:G5"/>
    <mergeCell ref="A2:E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3:Q32"/>
  <sheetViews>
    <sheetView workbookViewId="0">
      <selection activeCell="L19" sqref="L19"/>
    </sheetView>
  </sheetViews>
  <sheetFormatPr defaultRowHeight="15"/>
  <cols>
    <col min="2" max="2" width="33.140625" customWidth="1"/>
    <col min="3" max="3" width="12" customWidth="1"/>
    <col min="4" max="16" width="9.7109375" customWidth="1"/>
  </cols>
  <sheetData>
    <row r="3" spans="1:17">
      <c r="A3" s="492">
        <v>1</v>
      </c>
      <c r="B3" t="s">
        <v>398</v>
      </c>
      <c r="C3" s="498">
        <f>'Estimativa LABMETRO e USIMEC'!G10</f>
        <v>27456.180000000004</v>
      </c>
    </row>
    <row r="4" spans="1:17">
      <c r="A4" s="492"/>
      <c r="C4" s="845" t="s">
        <v>401</v>
      </c>
      <c r="D4" s="845"/>
      <c r="E4" s="845"/>
      <c r="F4" s="845"/>
      <c r="G4" s="845"/>
      <c r="H4" s="845"/>
      <c r="I4" s="845"/>
      <c r="J4" s="845"/>
      <c r="L4" s="845" t="s">
        <v>285</v>
      </c>
      <c r="M4" s="845"/>
      <c r="N4" s="845"/>
      <c r="O4" s="845"/>
      <c r="P4" s="845"/>
      <c r="Q4" s="500" t="s">
        <v>199</v>
      </c>
    </row>
    <row r="5" spans="1:17">
      <c r="A5" s="492"/>
      <c r="C5" s="493" t="s">
        <v>378</v>
      </c>
      <c r="D5" s="493" t="s">
        <v>379</v>
      </c>
      <c r="E5" s="493" t="s">
        <v>385</v>
      </c>
      <c r="F5" s="493" t="s">
        <v>388</v>
      </c>
      <c r="G5" s="493" t="s">
        <v>389</v>
      </c>
      <c r="H5" s="493" t="s">
        <v>390</v>
      </c>
      <c r="I5" s="493" t="s">
        <v>86</v>
      </c>
      <c r="J5" s="493" t="s">
        <v>391</v>
      </c>
      <c r="K5" s="496"/>
      <c r="L5" s="493" t="s">
        <v>393</v>
      </c>
      <c r="M5" s="493" t="s">
        <v>394</v>
      </c>
      <c r="N5" s="493" t="s">
        <v>395</v>
      </c>
      <c r="O5" s="493" t="s">
        <v>396</v>
      </c>
      <c r="P5" s="499" t="s">
        <v>397</v>
      </c>
      <c r="Q5" s="495"/>
    </row>
    <row r="6" spans="1:17">
      <c r="A6" s="492">
        <v>2</v>
      </c>
      <c r="B6" t="s">
        <v>3</v>
      </c>
      <c r="C6" s="569">
        <f>'Estimativa LABMETRO e USIMEC'!G17</f>
        <v>104.97</v>
      </c>
      <c r="D6" s="569">
        <f>'Estimativa LABMETRO e USIMEC'!G47</f>
        <v>283.08</v>
      </c>
      <c r="E6" s="569">
        <f>'Estimativa LABMETRO e USIMEC'!G87</f>
        <v>215.24</v>
      </c>
      <c r="F6" s="569">
        <f>'Estimativa LABMETRO e USIMEC'!G118</f>
        <v>100.78999999999999</v>
      </c>
      <c r="G6" s="569">
        <f>'Estimativa LABMETRO e USIMEC'!G131</f>
        <v>160.18</v>
      </c>
      <c r="H6" s="569">
        <f>'Estimativa LABMETRO e USIMEC'!G142</f>
        <v>130.44999999999999</v>
      </c>
      <c r="I6" s="569">
        <f>'Estimativa LABMETRO e USIMEC'!G36</f>
        <v>14.78</v>
      </c>
      <c r="J6" s="569">
        <f>'Estimativa LABMETRO e USIMEC'!G155</f>
        <v>45.57</v>
      </c>
      <c r="K6" s="497"/>
      <c r="L6" s="569">
        <f>'Estimativa LABMETRO e USIMEC'!G166</f>
        <v>251.35999999999999</v>
      </c>
      <c r="M6" s="569">
        <f>'Estimativa LABMETRO e USIMEC'!G215</f>
        <v>20.12</v>
      </c>
      <c r="N6" s="569"/>
      <c r="O6" s="569"/>
      <c r="P6" s="569"/>
      <c r="Q6" s="494">
        <f>SUM(C6:P6)</f>
        <v>1326.5399999999997</v>
      </c>
    </row>
    <row r="7" spans="1:17">
      <c r="A7" s="492">
        <v>3</v>
      </c>
      <c r="B7" t="s">
        <v>386</v>
      </c>
      <c r="C7" s="569">
        <f>'Estimativa LABMETRO e USIMEC'!G20</f>
        <v>70.28</v>
      </c>
      <c r="D7" s="569"/>
      <c r="E7" s="569">
        <f>'Estimativa LABMETRO e USIMEC'!G91</f>
        <v>901.90000000000009</v>
      </c>
      <c r="F7" s="569"/>
      <c r="G7" s="569"/>
      <c r="H7" s="569"/>
      <c r="I7" s="569"/>
      <c r="J7" s="569"/>
      <c r="K7" s="497"/>
      <c r="L7" s="569">
        <f>'Estimativa LABMETRO e USIMEC'!G172</f>
        <v>1059.3899999999999</v>
      </c>
      <c r="M7" s="569">
        <f>'Estimativa LABMETRO e USIMEC'!G217</f>
        <v>836.1</v>
      </c>
      <c r="N7" s="569"/>
      <c r="O7" s="569">
        <f>'Estimativa LABMETRO e USIMEC'!G238</f>
        <v>451.06</v>
      </c>
      <c r="P7" s="569"/>
      <c r="Q7" s="494">
        <f t="shared" ref="Q7:Q20" si="0">SUM(C7:P7)</f>
        <v>3318.73</v>
      </c>
    </row>
    <row r="8" spans="1:17">
      <c r="A8" s="492">
        <v>4</v>
      </c>
      <c r="B8" t="s">
        <v>383</v>
      </c>
      <c r="C8" s="569"/>
      <c r="D8" s="569">
        <f>'Estimativa LABMETRO e USIMEC'!G60</f>
        <v>579.84</v>
      </c>
      <c r="E8" s="569"/>
      <c r="F8" s="569"/>
      <c r="G8" s="569"/>
      <c r="H8" s="569"/>
      <c r="I8" s="569"/>
      <c r="J8" s="569"/>
      <c r="K8" s="497"/>
      <c r="L8" s="569"/>
      <c r="M8" s="569"/>
      <c r="N8" s="569"/>
      <c r="O8" s="569"/>
      <c r="P8" s="569"/>
      <c r="Q8" s="494">
        <f t="shared" si="0"/>
        <v>579.84</v>
      </c>
    </row>
    <row r="9" spans="1:17">
      <c r="A9" s="492">
        <v>5</v>
      </c>
      <c r="B9" t="s">
        <v>2</v>
      </c>
      <c r="C9" s="569">
        <f>'Estimativa LABMETRO e USIMEC'!G22</f>
        <v>664.14</v>
      </c>
      <c r="D9" s="569">
        <f>'Estimativa LABMETRO e USIMEC'!G58</f>
        <v>2192.42</v>
      </c>
      <c r="E9" s="569">
        <f>'Estimativa LABMETRO e USIMEC'!G100</f>
        <v>6800.65</v>
      </c>
      <c r="F9" s="569">
        <f>'Estimativa LABMETRO e USIMEC'!G124</f>
        <v>1400.36</v>
      </c>
      <c r="G9" s="569">
        <f>'Estimativa LABMETRO e USIMEC'!G134</f>
        <v>1872.31</v>
      </c>
      <c r="H9" s="569">
        <f>'Estimativa LABMETRO e USIMEC'!G147</f>
        <v>1248.53</v>
      </c>
      <c r="I9" s="569">
        <f>'Estimativa LABMETRO e USIMEC'!G39</f>
        <v>295.79000000000002</v>
      </c>
      <c r="J9" s="569">
        <f>'Estimativa LABMETRO e USIMEC'!G157</f>
        <v>2381.9699999999998</v>
      </c>
      <c r="K9" s="497"/>
      <c r="L9" s="569"/>
      <c r="M9" s="569"/>
      <c r="N9" s="569"/>
      <c r="O9" s="569">
        <f>'Estimativa LABMETRO e USIMEC'!G240</f>
        <v>18.510000000000002</v>
      </c>
      <c r="P9" s="569"/>
      <c r="Q9" s="494">
        <f t="shared" si="0"/>
        <v>16874.68</v>
      </c>
    </row>
    <row r="10" spans="1:17">
      <c r="A10" s="492">
        <v>6</v>
      </c>
      <c r="B10" t="s">
        <v>381</v>
      </c>
      <c r="C10" s="569">
        <f>'Estimativa LABMETRO e USIMEC'!G27</f>
        <v>516.89</v>
      </c>
      <c r="D10" s="569">
        <f>'Estimativa LABMETRO e USIMEC'!G62</f>
        <v>3853.39</v>
      </c>
      <c r="E10" s="569">
        <f>'Estimativa LABMETRO e USIMEC'!G102</f>
        <v>2060.7200000000003</v>
      </c>
      <c r="F10" s="569">
        <f>'Estimativa LABMETRO e USIMEC'!G121+'Estimativa LABMETRO e USIMEC'!G126</f>
        <v>4442.3600000000006</v>
      </c>
      <c r="G10" s="569">
        <f>'Estimativa LABMETRO e USIMEC'!G136</f>
        <v>2633.43</v>
      </c>
      <c r="H10" s="569">
        <f>'Estimativa LABMETRO e USIMEC'!G149</f>
        <v>2087.2000000000003</v>
      </c>
      <c r="I10" s="569"/>
      <c r="J10" s="569"/>
      <c r="K10" s="497"/>
      <c r="L10" s="569">
        <f>'Estimativa LABMETRO e USIMEC'!G204</f>
        <v>4690.18</v>
      </c>
      <c r="M10" s="569">
        <f>'Estimativa LABMETRO e USIMEC'!G229</f>
        <v>880.44</v>
      </c>
      <c r="N10" s="569"/>
      <c r="O10" s="569"/>
      <c r="P10" s="569"/>
      <c r="Q10" s="494">
        <f t="shared" si="0"/>
        <v>21164.61</v>
      </c>
    </row>
    <row r="11" spans="1:17">
      <c r="A11" s="492">
        <v>7</v>
      </c>
      <c r="B11" t="s">
        <v>392</v>
      </c>
      <c r="C11" s="569"/>
      <c r="D11" s="569"/>
      <c r="E11" s="569"/>
      <c r="F11" s="569"/>
      <c r="G11" s="569"/>
      <c r="H11" s="569"/>
      <c r="I11" s="584">
        <f>'Estimativa LABMETRO e USIMEC'!G40</f>
        <v>72.72</v>
      </c>
      <c r="J11" s="569"/>
      <c r="K11" s="497"/>
      <c r="L11" s="569"/>
      <c r="M11" s="569"/>
      <c r="N11" s="569"/>
      <c r="O11" s="569"/>
      <c r="P11" s="569"/>
      <c r="Q11" s="494">
        <f t="shared" si="0"/>
        <v>72.72</v>
      </c>
    </row>
    <row r="12" spans="1:17">
      <c r="A12" s="492">
        <v>8</v>
      </c>
      <c r="B12" t="s">
        <v>382</v>
      </c>
      <c r="C12" s="569"/>
      <c r="D12" s="569">
        <f>'Estimativa LABMETRO e USIMEC'!G51</f>
        <v>318.72000000000003</v>
      </c>
      <c r="E12" s="569">
        <f>'Estimativa LABMETRO e USIMEC'!G96</f>
        <v>499.81</v>
      </c>
      <c r="F12" s="569"/>
      <c r="G12" s="569"/>
      <c r="H12" s="569">
        <f>'Estimativa LABMETRO e USIMEC'!G145</f>
        <v>53.12</v>
      </c>
      <c r="I12" s="569"/>
      <c r="J12" s="569"/>
      <c r="K12" s="497"/>
      <c r="L12" s="569">
        <f>'Estimativa LABMETRO e USIMEC'!G176</f>
        <v>948.41999999999985</v>
      </c>
      <c r="M12" s="569">
        <f>'Estimativa LABMETRO e USIMEC'!G219</f>
        <v>2802.18</v>
      </c>
      <c r="N12" s="569"/>
      <c r="O12" s="569"/>
      <c r="P12" s="569"/>
      <c r="Q12" s="494">
        <f t="shared" si="0"/>
        <v>4622.25</v>
      </c>
    </row>
    <row r="13" spans="1:17">
      <c r="A13" s="492">
        <v>9</v>
      </c>
      <c r="B13" t="s">
        <v>294</v>
      </c>
      <c r="C13" s="569"/>
      <c r="D13" s="569"/>
      <c r="E13" s="569"/>
      <c r="F13" s="569"/>
      <c r="G13" s="569"/>
      <c r="H13" s="569"/>
      <c r="I13" s="569"/>
      <c r="J13" s="569"/>
      <c r="K13" s="497"/>
      <c r="L13" s="569">
        <f>'Estimativa LABMETRO e USIMEC'!G182</f>
        <v>352.07</v>
      </c>
      <c r="M13" s="569"/>
      <c r="N13" s="569"/>
      <c r="O13" s="569"/>
      <c r="P13" s="569"/>
      <c r="Q13" s="494">
        <f t="shared" si="0"/>
        <v>352.07</v>
      </c>
    </row>
    <row r="14" spans="1:17">
      <c r="A14" s="492">
        <v>10</v>
      </c>
      <c r="B14" t="s">
        <v>1</v>
      </c>
      <c r="C14" s="569">
        <f>'Estimativa LABMETRO e USIMEC'!G29</f>
        <v>487.04999999999995</v>
      </c>
      <c r="D14" s="569">
        <f>'Estimativa LABMETRO e USIMEC'!G53</f>
        <v>327.72</v>
      </c>
      <c r="E14" s="569">
        <f>'Estimativa LABMETRO e USIMEC'!G106</f>
        <v>116.42</v>
      </c>
      <c r="F14" s="569"/>
      <c r="G14" s="569"/>
      <c r="H14" s="569"/>
      <c r="I14" s="569">
        <f>'Estimativa LABMETRO e USIMEC'!G42</f>
        <v>83.76</v>
      </c>
      <c r="J14" s="569"/>
      <c r="K14" s="497"/>
      <c r="L14" s="569">
        <f>'Estimativa LABMETRO e USIMEC'!G210</f>
        <v>6291.7899999999991</v>
      </c>
      <c r="M14" s="569"/>
      <c r="N14" s="569">
        <f>'Estimativa LABMETRO e USIMEC'!G232</f>
        <v>35.99</v>
      </c>
      <c r="O14" s="569">
        <f>'Estimativa LABMETRO e USIMEC'!G242</f>
        <v>582.45999999999992</v>
      </c>
      <c r="P14" s="569">
        <f>'Estimativa LABMETRO e USIMEC'!G247</f>
        <v>1436.69</v>
      </c>
      <c r="Q14" s="494">
        <f t="shared" si="0"/>
        <v>9361.8799999999992</v>
      </c>
    </row>
    <row r="15" spans="1:17">
      <c r="A15" s="492">
        <v>11</v>
      </c>
      <c r="B15" t="s">
        <v>380</v>
      </c>
      <c r="C15" s="569">
        <f>'Estimativa LABMETRO e USIMEC'!G24</f>
        <v>142.67000000000002</v>
      </c>
      <c r="D15" s="569"/>
      <c r="E15" s="569"/>
      <c r="F15" s="569"/>
      <c r="G15" s="569"/>
      <c r="H15" s="569"/>
      <c r="I15" s="569"/>
      <c r="J15" s="569"/>
      <c r="K15" s="497"/>
      <c r="L15" s="569">
        <f>'Estimativa LABMETRO e USIMEC'!G189</f>
        <v>401.78</v>
      </c>
      <c r="M15" s="569"/>
      <c r="N15" s="569"/>
      <c r="O15" s="569"/>
      <c r="P15" s="569"/>
      <c r="Q15" s="494">
        <f t="shared" si="0"/>
        <v>544.45000000000005</v>
      </c>
    </row>
    <row r="16" spans="1:17">
      <c r="A16" s="492">
        <v>12</v>
      </c>
      <c r="B16" t="s">
        <v>297</v>
      </c>
      <c r="C16" s="569"/>
      <c r="D16" s="569"/>
      <c r="E16" s="569"/>
      <c r="F16" s="569"/>
      <c r="G16" s="569"/>
      <c r="H16" s="569"/>
      <c r="I16" s="569"/>
      <c r="J16" s="569"/>
      <c r="K16" s="497"/>
      <c r="L16" s="569">
        <f>'Estimativa LABMETRO e USIMEC'!G185</f>
        <v>762.45</v>
      </c>
      <c r="M16" s="569"/>
      <c r="N16" s="569">
        <f>'Estimativa LABMETRO e USIMEC'!G234</f>
        <v>178.07999999999998</v>
      </c>
      <c r="O16" s="569"/>
      <c r="P16" s="569"/>
      <c r="Q16" s="494">
        <f t="shared" si="0"/>
        <v>940.53</v>
      </c>
    </row>
    <row r="17" spans="1:17">
      <c r="A17" s="492">
        <v>13</v>
      </c>
      <c r="B17" t="s">
        <v>384</v>
      </c>
      <c r="C17" s="569">
        <f>'Estimativa LABMETRO e USIMEC'!G33</f>
        <v>111.52</v>
      </c>
      <c r="D17" s="569">
        <f>'Estimativa LABMETRO e USIMEC'!G76</f>
        <v>873.17</v>
      </c>
      <c r="E17" s="569">
        <f>'Estimativa LABMETRO e USIMEC'!G109</f>
        <v>715.35</v>
      </c>
      <c r="F17" s="569">
        <f>'Estimativa LABMETRO e USIMEC'!G128</f>
        <v>111.52</v>
      </c>
      <c r="G17" s="569">
        <f>'Estimativa LABMETRO e USIMEC'!G139</f>
        <v>111.52</v>
      </c>
      <c r="H17" s="569">
        <f>'Estimativa LABMETRO e USIMEC'!G152</f>
        <v>111.52</v>
      </c>
      <c r="I17" s="569">
        <f>'Estimativa LABMETRO e USIMEC'!G44</f>
        <v>111.52</v>
      </c>
      <c r="J17" s="569">
        <f>'Estimativa LABMETRO e USIMEC'!G159</f>
        <v>225.76</v>
      </c>
      <c r="K17" s="497"/>
      <c r="L17" s="569">
        <f>'Estimativa LABMETRO e USIMEC'!G192</f>
        <v>3100.5</v>
      </c>
      <c r="M17" s="569"/>
      <c r="N17" s="569"/>
      <c r="O17" s="569"/>
      <c r="P17" s="569"/>
      <c r="Q17" s="494">
        <f t="shared" si="0"/>
        <v>5472.38</v>
      </c>
    </row>
    <row r="18" spans="1:17">
      <c r="A18" s="492">
        <v>14</v>
      </c>
      <c r="B18" t="s">
        <v>452</v>
      </c>
      <c r="C18" s="569"/>
      <c r="D18" s="569">
        <f>'Estimativa LABMETRO e USIMEC'!G66</f>
        <v>2098.92</v>
      </c>
      <c r="E18" s="569"/>
      <c r="F18" s="569"/>
      <c r="G18" s="569"/>
      <c r="H18" s="569"/>
      <c r="I18" s="569"/>
      <c r="J18" s="569"/>
      <c r="K18" s="497"/>
      <c r="L18" s="569"/>
      <c r="M18" s="569"/>
      <c r="N18" s="569"/>
      <c r="O18" s="569"/>
      <c r="P18" s="569">
        <f>'Estimativa LABMETRO e USIMEC'!G251</f>
        <v>326.04999999999995</v>
      </c>
      <c r="Q18" s="494">
        <f t="shared" si="0"/>
        <v>2424.9700000000003</v>
      </c>
    </row>
    <row r="19" spans="1:17">
      <c r="A19" s="492">
        <v>15</v>
      </c>
      <c r="B19" t="s">
        <v>449</v>
      </c>
      <c r="C19" s="569"/>
      <c r="D19" s="569">
        <f>'Estimativa LABMETRO e USIMEC'!G82</f>
        <v>582.19000000000005</v>
      </c>
      <c r="E19" s="569">
        <f>'Estimativa LABMETRO e USIMEC'!G115</f>
        <v>22.95</v>
      </c>
      <c r="F19" s="569"/>
      <c r="G19" s="569"/>
      <c r="H19" s="569"/>
      <c r="I19" s="569"/>
      <c r="J19" s="569"/>
      <c r="K19" s="497"/>
      <c r="L19" s="569"/>
      <c r="M19" s="569"/>
      <c r="N19" s="569"/>
      <c r="O19" s="569"/>
      <c r="P19" s="569"/>
      <c r="Q19" s="494">
        <f t="shared" si="0"/>
        <v>605.1400000000001</v>
      </c>
    </row>
    <row r="20" spans="1:17">
      <c r="A20" s="492">
        <v>16</v>
      </c>
      <c r="B20" t="s">
        <v>568</v>
      </c>
      <c r="C20" s="569"/>
      <c r="D20" s="569"/>
      <c r="E20" s="569">
        <f>'Estimativa LABMETRO e USIMEC'!G113</f>
        <v>52.28</v>
      </c>
      <c r="F20" s="569"/>
      <c r="G20" s="569"/>
      <c r="H20" s="569"/>
      <c r="I20" s="569"/>
      <c r="J20" s="569"/>
      <c r="K20" s="497"/>
      <c r="L20" s="494"/>
      <c r="M20" s="494"/>
      <c r="N20" s="494"/>
      <c r="O20" s="494"/>
      <c r="P20" s="494"/>
      <c r="Q20" s="494">
        <f t="shared" si="0"/>
        <v>52.28</v>
      </c>
    </row>
    <row r="21" spans="1:17">
      <c r="A21" s="492"/>
      <c r="C21" s="569"/>
      <c r="D21" s="569"/>
      <c r="E21" s="569"/>
      <c r="F21" s="569"/>
      <c r="G21" s="569"/>
      <c r="H21" s="569"/>
      <c r="I21" s="569"/>
      <c r="J21" s="569"/>
      <c r="K21" s="497"/>
      <c r="L21" s="494"/>
      <c r="M21" s="494"/>
      <c r="N21" s="494"/>
      <c r="O21" s="494"/>
      <c r="P21" s="494"/>
      <c r="Q21" s="494"/>
    </row>
    <row r="22" spans="1:17">
      <c r="A22" s="492"/>
      <c r="C22" s="494">
        <f t="shared" ref="C22:J22" si="1">SUM(C6:C21)</f>
        <v>2097.52</v>
      </c>
      <c r="D22" s="494">
        <f t="shared" si="1"/>
        <v>11109.45</v>
      </c>
      <c r="E22" s="494">
        <f t="shared" si="1"/>
        <v>11385.320000000002</v>
      </c>
      <c r="F22" s="494">
        <f t="shared" si="1"/>
        <v>6055.0300000000007</v>
      </c>
      <c r="G22" s="494">
        <f t="shared" si="1"/>
        <v>4777.4400000000005</v>
      </c>
      <c r="H22" s="494">
        <f t="shared" si="1"/>
        <v>3630.82</v>
      </c>
      <c r="I22" s="494">
        <f t="shared" si="1"/>
        <v>578.56999999999994</v>
      </c>
      <c r="J22" s="494">
        <f t="shared" si="1"/>
        <v>2653.3</v>
      </c>
      <c r="K22" s="497"/>
      <c r="L22" s="494">
        <f>SUM(L6:L21)</f>
        <v>17857.940000000002</v>
      </c>
      <c r="M22" s="494">
        <f>SUM(M6:M21)</f>
        <v>4538.84</v>
      </c>
      <c r="N22" s="494">
        <f>SUM(N6:N21)</f>
        <v>214.07</v>
      </c>
      <c r="O22" s="494">
        <f>SUM(O6:O21)</f>
        <v>1052.03</v>
      </c>
      <c r="P22" s="494">
        <f>SUM(P6:P21)</f>
        <v>1762.74</v>
      </c>
      <c r="Q22" s="495"/>
    </row>
    <row r="23" spans="1:17">
      <c r="A23" s="492"/>
      <c r="C23" s="840">
        <f>C22+D22+E22+F22+G22+H22+I22+J22</f>
        <v>42287.450000000004</v>
      </c>
      <c r="D23" s="841"/>
      <c r="E23" s="841"/>
      <c r="F23" s="841"/>
      <c r="G23" s="841"/>
      <c r="H23" s="841"/>
      <c r="I23" s="841"/>
      <c r="J23" s="842"/>
      <c r="L23" s="843">
        <f>L22+M22+N22+O22+P22</f>
        <v>25425.620000000003</v>
      </c>
      <c r="M23" s="844"/>
      <c r="N23" s="844"/>
      <c r="O23" s="844"/>
      <c r="P23" s="844"/>
      <c r="Q23" s="69">
        <f>SUM(Q6:Q21)</f>
        <v>67713.069999999992</v>
      </c>
    </row>
    <row r="24" spans="1:17">
      <c r="A24" s="492"/>
    </row>
    <row r="25" spans="1:17">
      <c r="A25" s="492">
        <v>14</v>
      </c>
      <c r="B25" t="s">
        <v>93</v>
      </c>
      <c r="C25" s="498">
        <f>'Estimativa LABMETRO e USIMEC'!G262</f>
        <v>1571.9</v>
      </c>
    </row>
    <row r="26" spans="1:17">
      <c r="A26" s="492"/>
    </row>
    <row r="27" spans="1:17">
      <c r="A27" s="492"/>
      <c r="B27" t="s">
        <v>400</v>
      </c>
      <c r="C27" s="498">
        <f>C3+C23+L23+C25</f>
        <v>96741.15</v>
      </c>
      <c r="Q27" s="69">
        <f>C3+Q23+C25</f>
        <v>96741.15</v>
      </c>
    </row>
    <row r="28" spans="1:17">
      <c r="A28" s="492"/>
      <c r="B28" t="s">
        <v>402</v>
      </c>
      <c r="C28" s="498">
        <f>C27*25%</f>
        <v>24185.287499999999</v>
      </c>
    </row>
    <row r="29" spans="1:17">
      <c r="A29" s="492"/>
      <c r="B29" t="s">
        <v>199</v>
      </c>
      <c r="C29" s="498">
        <f>C27+C28</f>
        <v>120926.4375</v>
      </c>
    </row>
    <row r="30" spans="1:17">
      <c r="A30" s="492"/>
    </row>
    <row r="31" spans="1:17">
      <c r="A31" s="492"/>
    </row>
    <row r="32" spans="1:17">
      <c r="A32" s="492"/>
    </row>
  </sheetData>
  <mergeCells count="4">
    <mergeCell ref="C23:J23"/>
    <mergeCell ref="L23:P23"/>
    <mergeCell ref="C4:J4"/>
    <mergeCell ref="L4:P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Estimativa LABMETRO e USIMEC</vt:lpstr>
      <vt:lpstr>COMPOSIÇÕES</vt:lpstr>
      <vt:lpstr>CRONOGRAMA</vt:lpstr>
      <vt:lpstr>BDI OBRAS</vt:lpstr>
      <vt:lpstr>ENCARGOS SOCIAIS</vt:lpstr>
      <vt:lpstr>Apoio Cronograma</vt:lpstr>
      <vt:lpstr>'BDI OBRAS'!Area_de_impressao</vt:lpstr>
      <vt:lpstr>CRONOGRAMA!Area_de_impressao</vt:lpstr>
      <vt:lpstr>'ENCARGOS SOCIAIS'!Area_de_impressao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W10</dc:creator>
  <cp:lastModifiedBy>nrodriguez</cp:lastModifiedBy>
  <cp:lastPrinted>2021-05-24T17:03:21Z</cp:lastPrinted>
  <dcterms:created xsi:type="dcterms:W3CDTF">2020-05-29T19:57:32Z</dcterms:created>
  <dcterms:modified xsi:type="dcterms:W3CDTF">2022-03-16T12:52:14Z</dcterms:modified>
</cp:coreProperties>
</file>